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workbookPassword="C617" lockStructure="1"/>
  <bookViews>
    <workbookView xWindow="-120" yWindow="-120" windowWidth="20730" windowHeight="11160"/>
  </bookViews>
  <sheets>
    <sheet name="R7試算シート" sheetId="3" r:id="rId1"/>
    <sheet name="計算" sheetId="2" state="hidden" r:id="rId2"/>
  </sheets>
  <definedNames>
    <definedName name="_xlnm.Print_Area" localSheetId="0">'R7試算シート'!$A$39:$P$74</definedName>
    <definedName name="_xlnm.Print_Titles" localSheetId="0">'R7試算シート'!$2:$5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<sst xmlns="http://schemas.openxmlformats.org/spreadsheetml/2006/main" xmlns:r="http://schemas.openxmlformats.org/officeDocument/2006/relationships" count="119" uniqueCount="119">
  <si>
    <t>医療</t>
    <rPh sb="0" eb="2">
      <t>イリョウ</t>
    </rPh>
    <phoneticPr fontId="2"/>
  </si>
  <si>
    <t>世帯主</t>
    <rPh sb="0" eb="3">
      <t>セタイヌシ</t>
    </rPh>
    <phoneticPr fontId="2"/>
  </si>
  <si>
    <t>軽減判定計算</t>
    <rPh sb="0" eb="4">
      <t>ケイゲンハンテイ</t>
    </rPh>
    <rPh sb="4" eb="6">
      <t>ケイサン</t>
    </rPh>
    <phoneticPr fontId="2"/>
  </si>
  <si>
    <t>⑥</t>
  </si>
  <si>
    <t>医療分</t>
    <rPh sb="0" eb="2">
      <t>イリョウ</t>
    </rPh>
    <rPh sb="2" eb="3">
      <t>ブン</t>
    </rPh>
    <phoneticPr fontId="19"/>
  </si>
  <si>
    <t>受給者の区分その年中の
公的年金等の収入金額（A）</t>
  </si>
  <si>
    <t>後期高齢者
支援金分</t>
    <rPh sb="0" eb="2">
      <t>コウキ</t>
    </rPh>
    <rPh sb="2" eb="5">
      <t>コウレイシャ</t>
    </rPh>
    <rPh sb="6" eb="8">
      <t>シエン</t>
    </rPh>
    <rPh sb="8" eb="9">
      <t>キン</t>
    </rPh>
    <rPh sb="9" eb="10">
      <t>ブン</t>
    </rPh>
    <phoneticPr fontId="19"/>
  </si>
  <si>
    <t>③平等割</t>
    <rPh sb="1" eb="3">
      <t>ビョウドウ</t>
    </rPh>
    <rPh sb="3" eb="4">
      <t>ワ</t>
    </rPh>
    <phoneticPr fontId="19"/>
  </si>
  <si>
    <t>公的年金
雑所得</t>
    <rPh sb="0" eb="2">
      <t>コウテキ</t>
    </rPh>
    <rPh sb="2" eb="4">
      <t>ネンキン</t>
    </rPh>
    <rPh sb="5" eb="8">
      <t>ザツショトク</t>
    </rPh>
    <phoneticPr fontId="2"/>
  </si>
  <si>
    <t>年間給与収入（見積額）</t>
    <rPh sb="0" eb="2">
      <t>ネンカン</t>
    </rPh>
    <rPh sb="2" eb="4">
      <t>キュウヨ</t>
    </rPh>
    <rPh sb="4" eb="6">
      <t>シュウニュウ</t>
    </rPh>
    <rPh sb="7" eb="9">
      <t>ミツモ</t>
    </rPh>
    <rPh sb="9" eb="10">
      <t>ガク</t>
    </rPh>
    <phoneticPr fontId="2"/>
  </si>
  <si>
    <t>①所得割</t>
    <rPh sb="1" eb="3">
      <t>ショトク</t>
    </rPh>
    <rPh sb="3" eb="4">
      <t>ワリ</t>
    </rPh>
    <phoneticPr fontId="19"/>
  </si>
  <si>
    <t>②均等割</t>
    <rPh sb="1" eb="4">
      <t>キントウワ</t>
    </rPh>
    <phoneticPr fontId="19"/>
  </si>
  <si>
    <t>40歳～64歳</t>
    <rPh sb="2" eb="3">
      <t>サイ</t>
    </rPh>
    <rPh sb="6" eb="7">
      <t>サイ</t>
    </rPh>
    <phoneticPr fontId="2"/>
  </si>
  <si>
    <t>合計</t>
    <rPh sb="0" eb="2">
      <t>ゴウケイ</t>
    </rPh>
    <phoneticPr fontId="19"/>
  </si>
  <si>
    <t>65歳～74歳</t>
    <rPh sb="2" eb="3">
      <t>サイ</t>
    </rPh>
    <rPh sb="6" eb="7">
      <t>サイ</t>
    </rPh>
    <phoneticPr fontId="2"/>
  </si>
  <si>
    <t>給与所得者の数</t>
    <rPh sb="0" eb="5">
      <t>キュウヨショトクシャ</t>
    </rPh>
    <rPh sb="6" eb="7">
      <t>カズ</t>
    </rPh>
    <phoneticPr fontId="2"/>
  </si>
  <si>
    <t>介護用合計賦課所得</t>
    <rPh sb="0" eb="2">
      <t>カイゴ</t>
    </rPh>
    <rPh sb="2" eb="3">
      <t>ヨウ</t>
    </rPh>
    <rPh sb="3" eb="5">
      <t>ゴウケイ</t>
    </rPh>
    <rPh sb="5" eb="7">
      <t>フカ</t>
    </rPh>
    <rPh sb="7" eb="9">
      <t>ショトク</t>
    </rPh>
    <phoneticPr fontId="2"/>
  </si>
  <si>
    <r>
      <t>世帯主と加入者の</t>
    </r>
    <r>
      <rPr>
        <sz val="11"/>
        <color rgb="FFFF0000"/>
        <rFont val="游ゴシック"/>
      </rPr>
      <t>令和7年4月1日時点</t>
    </r>
    <r>
      <rPr>
        <sz val="11"/>
        <color theme="1"/>
        <rFont val="游ゴシック"/>
      </rPr>
      <t>の年齢を「75歳以上」「65歳～74歳」「40歳～64歳」「6歳～39歳」「0歳～5歳」のいずれかから選択してください。</t>
    </r>
    <rPh sb="0" eb="3">
      <t>セタイヌシ</t>
    </rPh>
    <rPh sb="4" eb="7">
      <t>カニュウシャ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rPh sb="25" eb="26">
      <t>サイ</t>
    </rPh>
    <rPh sb="26" eb="28">
      <t>イジョウ</t>
    </rPh>
    <rPh sb="49" eb="50">
      <t>サイ</t>
    </rPh>
    <rPh sb="53" eb="54">
      <t>サイ</t>
    </rPh>
    <rPh sb="57" eb="58">
      <t>サイ</t>
    </rPh>
    <rPh sb="60" eb="61">
      <t>サイ</t>
    </rPh>
    <rPh sb="69" eb="71">
      <t>センタク</t>
    </rPh>
    <phoneticPr fontId="2"/>
  </si>
  <si>
    <t>非自発的
失業者</t>
    <rPh sb="0" eb="4">
      <t>ヒジハツテキ</t>
    </rPh>
    <rPh sb="5" eb="8">
      <t>シツギョウシャ</t>
    </rPh>
    <phoneticPr fontId="2"/>
  </si>
  <si>
    <t>年金所得</t>
    <rPh sb="0" eb="4">
      <t>ネンキンショトク</t>
    </rPh>
    <phoneticPr fontId="2"/>
  </si>
  <si>
    <t>④軽減</t>
    <rPh sb="1" eb="3">
      <t>ケイゲン</t>
    </rPh>
    <phoneticPr fontId="19"/>
  </si>
  <si>
    <t>給与所得計算</t>
    <rPh sb="0" eb="2">
      <t>キュウヨ</t>
    </rPh>
    <rPh sb="2" eb="4">
      <t>ショトク</t>
    </rPh>
    <rPh sb="4" eb="6">
      <t>ケイサン</t>
    </rPh>
    <phoneticPr fontId="2"/>
  </si>
  <si>
    <t>～</t>
  </si>
  <si>
    <t>受給者の区分</t>
    <rPh sb="0" eb="3">
      <t>ジュキュウシャ</t>
    </rPh>
    <rPh sb="4" eb="6">
      <t>クブン</t>
    </rPh>
    <phoneticPr fontId="2"/>
  </si>
  <si>
    <t>年間保険料</t>
    <rPh sb="0" eb="2">
      <t>ネンカン</t>
    </rPh>
    <rPh sb="2" eb="5">
      <t>ホケンリョウ</t>
    </rPh>
    <phoneticPr fontId="2"/>
  </si>
  <si>
    <t>控除額</t>
    <rPh sb="0" eb="2">
      <t>コウジョ</t>
    </rPh>
    <rPh sb="2" eb="3">
      <t>ガク</t>
    </rPh>
    <phoneticPr fontId="2"/>
  </si>
  <si>
    <t>65歳以上</t>
    <rPh sb="2" eb="3">
      <t>サイ</t>
    </rPh>
    <rPh sb="3" eb="5">
      <t>イジョウ</t>
    </rPh>
    <phoneticPr fontId="2"/>
  </si>
  <si>
    <t>加入数</t>
    <rPh sb="0" eb="3">
      <t>カニュウスウ</t>
    </rPh>
    <phoneticPr fontId="2"/>
  </si>
  <si>
    <t>64歳以下</t>
    <rPh sb="2" eb="3">
      <t>サイ</t>
    </rPh>
    <rPh sb="3" eb="5">
      <t>イカ</t>
    </rPh>
    <phoneticPr fontId="2"/>
  </si>
  <si>
    <t>2割</t>
    <rPh sb="1" eb="2">
      <t>ワリ</t>
    </rPh>
    <phoneticPr fontId="2"/>
  </si>
  <si>
    <t>7割</t>
    <rPh sb="1" eb="2">
      <t>ワリ</t>
    </rPh>
    <phoneticPr fontId="2"/>
  </si>
  <si>
    <t>75歳以上</t>
    <rPh sb="2" eb="3">
      <t>サイ</t>
    </rPh>
    <rPh sb="3" eb="5">
      <t>イジョウ</t>
    </rPh>
    <phoneticPr fontId="2"/>
  </si>
  <si>
    <t>)</t>
  </si>
  <si>
    <t>主</t>
    <rPh sb="0" eb="1">
      <t>ヌシ</t>
    </rPh>
    <phoneticPr fontId="2"/>
  </si>
  <si>
    <t>収入</t>
    <rPh sb="0" eb="2">
      <t>シュウニュウ</t>
    </rPh>
    <phoneticPr fontId="2"/>
  </si>
  <si>
    <t>均等</t>
    <rPh sb="0" eb="2">
      <t>キントウ</t>
    </rPh>
    <phoneticPr fontId="2"/>
  </si>
  <si>
    <t>⑤</t>
  </si>
  <si>
    <t>介護人数</t>
    <rPh sb="0" eb="2">
      <t>カイゴ</t>
    </rPh>
    <rPh sb="2" eb="4">
      <t>ニンズウ</t>
    </rPh>
    <phoneticPr fontId="2"/>
  </si>
  <si>
    <t>所得</t>
    <rPh sb="0" eb="2">
      <t>ショトク</t>
    </rPh>
    <phoneticPr fontId="2"/>
  </si>
  <si>
    <t>軽減なし</t>
    <rPh sb="0" eb="2">
      <t>ケイゲン</t>
    </rPh>
    <phoneticPr fontId="2"/>
  </si>
  <si>
    <t>年齢</t>
    <rPh sb="0" eb="2">
      <t>ネンレイ</t>
    </rPh>
    <phoneticPr fontId="2"/>
  </si>
  <si>
    <t>➀</t>
  </si>
  <si>
    <t>年金所得計算</t>
    <rPh sb="0" eb="2">
      <t>ネンキン</t>
    </rPh>
    <rPh sb="2" eb="4">
      <t>ショトク</t>
    </rPh>
    <rPh sb="4" eb="6">
      <t>ケイサン</t>
    </rPh>
    <phoneticPr fontId="2"/>
  </si>
  <si>
    <t>②</t>
  </si>
  <si>
    <t>介護</t>
    <rPh sb="0" eb="2">
      <t>カイゴ</t>
    </rPh>
    <phoneticPr fontId="2"/>
  </si>
  <si>
    <t>③</t>
  </si>
  <si>
    <t>約</t>
    <rPh sb="0" eb="1">
      <t>ヤク</t>
    </rPh>
    <phoneticPr fontId="2"/>
  </si>
  <si>
    <t>判定結果</t>
    <rPh sb="0" eb="2">
      <t>ハンテイ</t>
    </rPh>
    <rPh sb="2" eb="4">
      <t>ケッカ</t>
    </rPh>
    <phoneticPr fontId="2"/>
  </si>
  <si>
    <t>④</t>
  </si>
  <si>
    <t>合計賦課所得</t>
    <rPh sb="0" eb="2">
      <t>ゴウケイ</t>
    </rPh>
    <rPh sb="2" eb="4">
      <t>フカ</t>
    </rPh>
    <rPh sb="4" eb="6">
      <t>ショトク</t>
    </rPh>
    <phoneticPr fontId="2"/>
  </si>
  <si>
    <t>加入者数</t>
    <rPh sb="0" eb="4">
      <t>カニュウシャスウ</t>
    </rPh>
    <phoneticPr fontId="2"/>
  </si>
  <si>
    <t>軽減判定用所得</t>
    <rPh sb="0" eb="5">
      <t>ケイゲンハンテイヨウ</t>
    </rPh>
    <rPh sb="5" eb="7">
      <t>ショトク</t>
    </rPh>
    <phoneticPr fontId="2"/>
  </si>
  <si>
    <t>平等</t>
    <rPh sb="0" eb="2">
      <t>ビョウドウ</t>
    </rPh>
    <phoneticPr fontId="2"/>
  </si>
  <si>
    <t>未就学児</t>
    <rPh sb="0" eb="4">
      <t>ミシュウガクジ</t>
    </rPh>
    <phoneticPr fontId="2"/>
  </si>
  <si>
    <t>人</t>
  </si>
  <si>
    <t>人</t>
    <rPh sb="0" eb="1">
      <t>ニン</t>
    </rPh>
    <phoneticPr fontId="2"/>
  </si>
  <si>
    <t>割</t>
    <rPh sb="0" eb="1">
      <t>ワ</t>
    </rPh>
    <phoneticPr fontId="2"/>
  </si>
  <si>
    <t>介護分（40～64歳）</t>
  </si>
  <si>
    <t>判定</t>
    <rPh sb="0" eb="2">
      <t>ハンテイ</t>
    </rPh>
    <phoneticPr fontId="2"/>
  </si>
  <si>
    <t>×</t>
  </si>
  <si>
    <t>（②＋③）</t>
  </si>
  <si>
    <t>判定用所得</t>
    <rPh sb="0" eb="2">
      <t>ハンテイ</t>
    </rPh>
    <rPh sb="2" eb="3">
      <t>ヨウ</t>
    </rPh>
    <rPh sb="3" eb="5">
      <t>ショトク</t>
    </rPh>
    <phoneticPr fontId="2"/>
  </si>
  <si>
    <t>~</t>
  </si>
  <si>
    <t>5割</t>
    <rPh sb="1" eb="2">
      <t>ワリ</t>
    </rPh>
    <phoneticPr fontId="2"/>
  </si>
  <si>
    <t>1か月相当分</t>
    <rPh sb="2" eb="3">
      <t>ゲツ</t>
    </rPh>
    <rPh sb="3" eb="6">
      <t>ソウトウブン</t>
    </rPh>
    <phoneticPr fontId="2"/>
  </si>
  <si>
    <t>円</t>
    <rPh sb="0" eb="1">
      <t>エン</t>
    </rPh>
    <phoneticPr fontId="2"/>
  </si>
  <si>
    <t>支援</t>
    <rPh sb="0" eb="2">
      <t>シエン</t>
    </rPh>
    <phoneticPr fontId="2"/>
  </si>
  <si>
    <t>上限</t>
    <rPh sb="0" eb="2">
      <t>ジョウゲン</t>
    </rPh>
    <phoneticPr fontId="2"/>
  </si>
  <si>
    <t>加入月数保険料
算出用</t>
    <rPh sb="0" eb="4">
      <t>カニュウツキスウ</t>
    </rPh>
    <rPh sb="4" eb="7">
      <t>ホケンリョウ</t>
    </rPh>
    <rPh sb="8" eb="10">
      <t>サンシュツ</t>
    </rPh>
    <rPh sb="10" eb="11">
      <t>ヨウ</t>
    </rPh>
    <phoneticPr fontId="2"/>
  </si>
  <si>
    <t>（　(ア)＋(イ)＋(ウ)　）</t>
  </si>
  <si>
    <t>この計算シートでは、おおよその年間の保険料と、1か月あたりの保険料を算出できます。</t>
    <rPh sb="2" eb="4">
      <t>ケイサン</t>
    </rPh>
    <rPh sb="15" eb="17">
      <t>ネンカン</t>
    </rPh>
    <rPh sb="18" eb="21">
      <t>ホケンリョウ</t>
    </rPh>
    <rPh sb="25" eb="26">
      <t>ゲツ</t>
    </rPh>
    <rPh sb="30" eb="33">
      <t>ホケンリョウ</t>
    </rPh>
    <rPh sb="34" eb="36">
      <t>サンシュツ</t>
    </rPh>
    <phoneticPr fontId="2"/>
  </si>
  <si>
    <r>
      <t>給与・年金については</t>
    </r>
    <r>
      <rPr>
        <sz val="11"/>
        <color rgb="FFFF0000"/>
        <rFont val="游ゴシック"/>
      </rPr>
      <t>収入</t>
    </r>
    <r>
      <rPr>
        <sz val="11"/>
        <color theme="1"/>
        <rFont val="游ゴシック"/>
      </rPr>
      <t>金額（源泉徴収票「支払金額」の部分）を入力してください。その他所得（不動産所得・営業所得等）がある場合には「その他所得」に</t>
    </r>
    <r>
      <rPr>
        <sz val="11"/>
        <color rgb="FFFF0000"/>
        <rFont val="游ゴシック"/>
      </rPr>
      <t>所得</t>
    </r>
    <r>
      <rPr>
        <sz val="11"/>
        <color theme="1"/>
        <rFont val="游ゴシック"/>
      </rPr>
      <t>金額を入力してください。</t>
    </r>
    <rPh sb="0" eb="1">
      <t>ヨウ</t>
    </rPh>
    <rPh sb="15" eb="20">
      <t>ゲンセンチョウシュウヒョウ</t>
    </rPh>
    <rPh sb="21" eb="23">
      <t>シハラ</t>
    </rPh>
    <rPh sb="23" eb="25">
      <t>キンガク</t>
    </rPh>
    <rPh sb="27" eb="29">
      <t>ブブン</t>
    </rPh>
    <rPh sb="31" eb="33">
      <t>ニュウリョク</t>
    </rPh>
    <phoneticPr fontId="2"/>
  </si>
  <si>
    <t>収入金額等</t>
    <rPh sb="0" eb="2">
      <t>シュウニュウ</t>
    </rPh>
    <rPh sb="2" eb="4">
      <t>キンガク</t>
    </rPh>
    <rPh sb="4" eb="5">
      <t>トウ</t>
    </rPh>
    <phoneticPr fontId="2"/>
  </si>
  <si>
    <t>世帯主は加入しない場合でも必ず入力してください。</t>
    <rPh sb="0" eb="3">
      <t>セタイヌシ</t>
    </rPh>
    <rPh sb="4" eb="6">
      <t>カニュウ</t>
    </rPh>
    <rPh sb="9" eb="11">
      <t>バアイ</t>
    </rPh>
    <rPh sb="13" eb="14">
      <t>カナラ</t>
    </rPh>
    <rPh sb="15" eb="17">
      <t>ニュウリョク</t>
    </rPh>
    <phoneticPr fontId="2"/>
  </si>
  <si>
    <t>非自発的失業者</t>
    <rPh sb="0" eb="4">
      <t>ヒジハツテキ</t>
    </rPh>
    <rPh sb="4" eb="7">
      <t>シツギョウシャ</t>
    </rPh>
    <phoneticPr fontId="2"/>
  </si>
  <si>
    <t>（ 年間保険料／12か月 ）</t>
    <rPh sb="2" eb="7">
      <t>ネンカンホケンリョウ</t>
    </rPh>
    <rPh sb="11" eb="12">
      <t>ゲツ</t>
    </rPh>
    <phoneticPr fontId="2"/>
  </si>
  <si>
    <r>
      <t>給与</t>
    </r>
    <r>
      <rPr>
        <b/>
        <sz val="11"/>
        <color rgb="FFFF0000"/>
        <rFont val="游ゴシック"/>
      </rPr>
      <t>収入</t>
    </r>
    <rPh sb="0" eb="4">
      <t>キュウヨシュウニュウ</t>
    </rPh>
    <phoneticPr fontId="2"/>
  </si>
  <si>
    <r>
      <t>年金</t>
    </r>
    <r>
      <rPr>
        <b/>
        <sz val="11"/>
        <color rgb="FFFF0000"/>
        <rFont val="游ゴシック"/>
      </rPr>
      <t>収入</t>
    </r>
    <rPh sb="0" eb="4">
      <t>ネンキンシュウニュウ</t>
    </rPh>
    <phoneticPr fontId="2"/>
  </si>
  <si>
    <r>
      <t>その他</t>
    </r>
    <r>
      <rPr>
        <b/>
        <sz val="11"/>
        <color rgb="FFFF0000"/>
        <rFont val="游ゴシック"/>
      </rPr>
      <t>所得</t>
    </r>
    <rPh sb="2" eb="3">
      <t>ホカ</t>
    </rPh>
    <rPh sb="3" eb="5">
      <t>ショトク</t>
    </rPh>
    <phoneticPr fontId="2"/>
  </si>
  <si>
    <t>所得金額</t>
  </si>
  <si>
    <t>給与所得者数</t>
    <rPh sb="0" eb="2">
      <t>キュウヨ</t>
    </rPh>
    <rPh sb="2" eb="5">
      <t>ショトクシャ</t>
    </rPh>
    <rPh sb="5" eb="6">
      <t>スウ</t>
    </rPh>
    <phoneticPr fontId="2"/>
  </si>
  <si>
    <t>合計</t>
    <rPh sb="0" eb="2">
      <t>ゴウケイ</t>
    </rPh>
    <phoneticPr fontId="2"/>
  </si>
  <si>
    <t>↓</t>
  </si>
  <si>
    <t>4/1時点の年齢区分</t>
    <rPh sb="3" eb="5">
      <t>ジテン</t>
    </rPh>
    <rPh sb="6" eb="8">
      <t>ネンレイ</t>
    </rPh>
    <rPh sb="8" eb="10">
      <t>クブン</t>
    </rPh>
    <phoneticPr fontId="2"/>
  </si>
  <si>
    <r>
      <rPr>
        <b/>
        <sz val="11"/>
        <color rgb="FFFF0000"/>
        <rFont val="游ゴシック"/>
      </rPr>
      <t>4/1時点</t>
    </r>
    <r>
      <rPr>
        <b/>
        <sz val="11"/>
        <color theme="1"/>
        <rFont val="游ゴシック"/>
      </rPr>
      <t xml:space="preserve">
年齢区分</t>
    </r>
    <rPh sb="3" eb="5">
      <t>ジテン</t>
    </rPh>
    <rPh sb="6" eb="8">
      <t>ネンレイ</t>
    </rPh>
    <rPh sb="8" eb="10">
      <t>クブン</t>
    </rPh>
    <phoneticPr fontId="2"/>
  </si>
  <si>
    <r>
      <rPr>
        <b/>
        <sz val="11"/>
        <color rgb="FFFF0000"/>
        <rFont val="游ゴシック"/>
      </rPr>
      <t>1/1時点</t>
    </r>
    <r>
      <rPr>
        <b/>
        <sz val="11"/>
        <color theme="1"/>
        <rFont val="游ゴシック"/>
      </rPr>
      <t xml:space="preserve">
年齢区分</t>
    </r>
    <rPh sb="3" eb="5">
      <t>ジテン</t>
    </rPh>
    <rPh sb="6" eb="10">
      <t>ネンレイクブン</t>
    </rPh>
    <phoneticPr fontId="2"/>
  </si>
  <si>
    <t>1/1時点の年齢区分</t>
    <rPh sb="3" eb="5">
      <t>ジテン</t>
    </rPh>
    <rPh sb="6" eb="8">
      <t>ネンレイ</t>
    </rPh>
    <rPh sb="8" eb="10">
      <t>クブン</t>
    </rPh>
    <phoneticPr fontId="2"/>
  </si>
  <si>
    <t>所得金額</t>
    <rPh sb="0" eb="4">
      <t>ショトクキンガク</t>
    </rPh>
    <phoneticPr fontId="2"/>
  </si>
  <si>
    <t>１世帯</t>
  </si>
  <si>
    <t>①+②+③-④（上限</t>
    <rPh sb="8" eb="10">
      <t>ジョウゲン</t>
    </rPh>
    <phoneticPr fontId="2"/>
  </si>
  <si>
    <t>①+②+③-④（上限</t>
  </si>
  <si>
    <t>）</t>
  </si>
  <si>
    <r>
      <t xml:space="preserve">給与所得
</t>
    </r>
    <r>
      <rPr>
        <sz val="10"/>
        <color rgb="FFFF0000"/>
        <rFont val="游ゴシック"/>
      </rPr>
      <t>(調整控除・非自後）</t>
    </r>
    <rPh sb="0" eb="4">
      <t>キュウヨショトク</t>
    </rPh>
    <rPh sb="6" eb="8">
      <t>チョウセイ</t>
    </rPh>
    <rPh sb="8" eb="10">
      <t>コウジョ</t>
    </rPh>
    <rPh sb="11" eb="12">
      <t>ヒ</t>
    </rPh>
    <rPh sb="12" eb="13">
      <t>ジ</t>
    </rPh>
    <rPh sb="13" eb="14">
      <t>ゴ</t>
    </rPh>
    <phoneticPr fontId="2"/>
  </si>
  <si>
    <t>軽減判定用年金所得（所得-15万）</t>
    <rPh sb="0" eb="2">
      <t>ケイゲン</t>
    </rPh>
    <rPh sb="2" eb="4">
      <t>ハンテイ</t>
    </rPh>
    <rPh sb="4" eb="5">
      <t>ヨウ</t>
    </rPh>
    <rPh sb="5" eb="7">
      <t>ネンキン</t>
    </rPh>
    <rPh sb="7" eb="9">
      <t>ショトク</t>
    </rPh>
    <rPh sb="10" eb="12">
      <t>ショトク</t>
    </rPh>
    <rPh sb="15" eb="16">
      <t>マン</t>
    </rPh>
    <phoneticPr fontId="2"/>
  </si>
  <si>
    <t>0歳～5歳</t>
    <rPh sb="1" eb="2">
      <t>サイ</t>
    </rPh>
    <rPh sb="4" eb="5">
      <t>サイ</t>
    </rPh>
    <phoneticPr fontId="2"/>
  </si>
  <si>
    <t>6歳～39歳</t>
    <rPh sb="1" eb="2">
      <t>サイ</t>
    </rPh>
    <rPh sb="5" eb="6">
      <t>サイ</t>
    </rPh>
    <phoneticPr fontId="2"/>
  </si>
  <si>
    <t>する</t>
  </si>
  <si>
    <t>しない</t>
  </si>
  <si>
    <t>国保加入</t>
    <rPh sb="0" eb="2">
      <t>コクホ</t>
    </rPh>
    <rPh sb="2" eb="4">
      <t>カニュウ</t>
    </rPh>
    <phoneticPr fontId="2"/>
  </si>
  <si>
    <t>国保
加入</t>
    <rPh sb="0" eb="2">
      <t>コクホ</t>
    </rPh>
    <rPh sb="3" eb="5">
      <t>カニュウ</t>
    </rPh>
    <phoneticPr fontId="2"/>
  </si>
  <si>
    <t>世帯主が74歳未満の方で、国保に加入する場合は「する」を選択してください。</t>
    <rPh sb="10" eb="11">
      <t>カタ</t>
    </rPh>
    <phoneticPr fontId="2"/>
  </si>
  <si>
    <t>の世帯主と加入者の年齢区分・所得等を入力してください。</t>
    <rPh sb="1" eb="4">
      <t>セタイヌシ</t>
    </rPh>
    <rPh sb="5" eb="8">
      <t>カニュウシャ</t>
    </rPh>
    <rPh sb="9" eb="13">
      <t>ネンレイクブン</t>
    </rPh>
    <rPh sb="14" eb="17">
      <t>ショトクトウ</t>
    </rPh>
    <rPh sb="18" eb="20">
      <t>ニュウリョク</t>
    </rPh>
    <phoneticPr fontId="2"/>
  </si>
  <si>
    <t>退職所得、障害年金・遺族年金等非課税の年金は入力不要です。</t>
  </si>
  <si>
    <t>カウント用</t>
    <rPh sb="4" eb="5">
      <t>ヨウ</t>
    </rPh>
    <phoneticPr fontId="2"/>
  </si>
  <si>
    <t>非自</t>
    <rPh sb="0" eb="1">
      <t>ヒ</t>
    </rPh>
    <rPh sb="1" eb="2">
      <t>ジ</t>
    </rPh>
    <phoneticPr fontId="2"/>
  </si>
  <si>
    <t>給与所得者</t>
    <rPh sb="0" eb="5">
      <t>キュウヨショトクシャ</t>
    </rPh>
    <phoneticPr fontId="2"/>
  </si>
  <si>
    <t>軽減判定用総所得</t>
    <rPh sb="0" eb="2">
      <t>ケイゲン</t>
    </rPh>
    <rPh sb="2" eb="4">
      <t>ハンテイ</t>
    </rPh>
    <rPh sb="4" eb="5">
      <t>ヨウ</t>
    </rPh>
    <rPh sb="5" eb="6">
      <t>ソウ</t>
    </rPh>
    <rPh sb="6" eb="8">
      <t>ショトク</t>
    </rPh>
    <phoneticPr fontId="2"/>
  </si>
  <si>
    <t>非自対応（ 所得＊0.3）：A</t>
    <rPh sb="0" eb="1">
      <t>ヒ</t>
    </rPh>
    <rPh sb="1" eb="2">
      <t>ジ</t>
    </rPh>
    <rPh sb="2" eb="4">
      <t>タイオウ</t>
    </rPh>
    <rPh sb="6" eb="8">
      <t>ショトク</t>
    </rPh>
    <phoneticPr fontId="2"/>
  </si>
  <si>
    <t>所得調整控除額：B</t>
    <rPh sb="0" eb="4">
      <t>ショトクチョウセイ</t>
    </rPh>
    <rPh sb="4" eb="7">
      <t>コウジョガク</t>
    </rPh>
    <phoneticPr fontId="2"/>
  </si>
  <si>
    <t>控除後　給与所得：A-B</t>
    <rPh sb="0" eb="3">
      <t>コウジョゴ</t>
    </rPh>
    <rPh sb="4" eb="6">
      <t>キュウヨ</t>
    </rPh>
    <rPh sb="6" eb="8">
      <t>ショトク</t>
    </rPh>
    <phoneticPr fontId="2"/>
  </si>
  <si>
    <t>割軽減</t>
    <rPh sb="0" eb="1">
      <t>ワ</t>
    </rPh>
    <rPh sb="1" eb="3">
      <t>ケイゲン</t>
    </rPh>
    <phoneticPr fontId="2"/>
  </si>
  <si>
    <t>総所得</t>
    <rPh sb="0" eb="1">
      <t>ソウ</t>
    </rPh>
    <rPh sb="1" eb="3">
      <t>ショトク</t>
    </rPh>
    <phoneticPr fontId="2"/>
  </si>
  <si>
    <r>
      <t xml:space="preserve">賦課所得
</t>
    </r>
    <r>
      <rPr>
        <b/>
        <sz val="8"/>
        <color theme="1"/>
        <rFont val="游ゴシック"/>
      </rPr>
      <t>(総所得-基礎控除43万)</t>
    </r>
    <rPh sb="0" eb="2">
      <t>フカ</t>
    </rPh>
    <rPh sb="2" eb="4">
      <t>ショトク</t>
    </rPh>
    <rPh sb="6" eb="9">
      <t>ソウショトク</t>
    </rPh>
    <rPh sb="10" eb="14">
      <t>キソコウジョ</t>
    </rPh>
    <rPh sb="16" eb="17">
      <t>マン</t>
    </rPh>
    <phoneticPr fontId="2"/>
  </si>
  <si>
    <r>
      <t>離職日時点の年齢が</t>
    </r>
    <r>
      <rPr>
        <sz val="11"/>
        <color rgb="FFFF0000"/>
        <rFont val="游ゴシック"/>
      </rPr>
      <t>64歳以下</t>
    </r>
    <r>
      <rPr>
        <sz val="11"/>
        <color theme="1"/>
        <rFont val="游ゴシック"/>
      </rPr>
      <t>で、雇用保険受給資格者証の離職理由コードが11・12・21・22・23・31・32・33・34に該当する方はチェックを入れてください。</t>
    </r>
    <rPh sb="0" eb="2">
      <t>リショク</t>
    </rPh>
    <rPh sb="2" eb="3">
      <t>ビ</t>
    </rPh>
    <rPh sb="3" eb="5">
      <t>ジテン</t>
    </rPh>
    <rPh sb="6" eb="8">
      <t>ネンレイ</t>
    </rPh>
    <rPh sb="11" eb="14">
      <t>サイイカ</t>
    </rPh>
    <rPh sb="16" eb="18">
      <t>コヨウ</t>
    </rPh>
    <rPh sb="18" eb="20">
      <t>ホケン</t>
    </rPh>
    <rPh sb="20" eb="22">
      <t>ジュキュウ</t>
    </rPh>
    <rPh sb="22" eb="25">
      <t>シカクシャ</t>
    </rPh>
    <rPh sb="25" eb="26">
      <t>ショウ</t>
    </rPh>
    <rPh sb="27" eb="29">
      <t>リショク</t>
    </rPh>
    <rPh sb="29" eb="31">
      <t>リユウ</t>
    </rPh>
    <rPh sb="62" eb="64">
      <t>ガイトウ</t>
    </rPh>
    <rPh sb="66" eb="67">
      <t>カタ</t>
    </rPh>
    <rPh sb="73" eb="74">
      <t>イ</t>
    </rPh>
    <phoneticPr fontId="2"/>
  </si>
  <si>
    <t>７割軽減</t>
    <rPh sb="1" eb="2">
      <t>ワリ</t>
    </rPh>
    <rPh sb="2" eb="4">
      <t>ケイゲン</t>
    </rPh>
    <phoneticPr fontId="2"/>
  </si>
  <si>
    <t>５割軽減</t>
    <rPh sb="1" eb="2">
      <t>ワリ</t>
    </rPh>
    <rPh sb="2" eb="4">
      <t>ケイゲン</t>
    </rPh>
    <phoneticPr fontId="2"/>
  </si>
  <si>
    <t>２割軽減</t>
    <rPh sb="1" eb="2">
      <t>ワリ</t>
    </rPh>
    <rPh sb="2" eb="4">
      <t>ケイゲン</t>
    </rPh>
    <phoneticPr fontId="2"/>
  </si>
  <si>
    <r>
      <t>世帯主と加入者の</t>
    </r>
    <r>
      <rPr>
        <sz val="11"/>
        <color rgb="FFFF0000"/>
        <rFont val="游ゴシック"/>
      </rPr>
      <t>令和7年1月1日時点</t>
    </r>
    <r>
      <rPr>
        <sz val="11"/>
        <color theme="1"/>
        <rFont val="游ゴシック"/>
      </rPr>
      <t>の年齢を「65歳以上」「64歳以下」のどちらかから選択してください。</t>
    </r>
    <rPh sb="0" eb="3">
      <t>セタイヌシ</t>
    </rPh>
    <rPh sb="4" eb="7">
      <t>カニュウシャ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ジテン</t>
    </rPh>
    <rPh sb="19" eb="21">
      <t>ネンレイ</t>
    </rPh>
    <rPh sb="25" eb="26">
      <t>サイ</t>
    </rPh>
    <rPh sb="26" eb="28">
      <t>イジョウ</t>
    </rPh>
    <rPh sb="32" eb="33">
      <t>サイ</t>
    </rPh>
    <rPh sb="33" eb="35">
      <t>イカ</t>
    </rPh>
    <rPh sb="43" eb="45">
      <t>センタク</t>
    </rPh>
    <phoneticPr fontId="2"/>
  </si>
  <si>
    <r>
      <t>世帯主及び加入者を</t>
    </r>
    <r>
      <rPr>
        <sz val="11"/>
        <color rgb="FFFF0000"/>
        <rFont val="游ゴシック"/>
      </rPr>
      <t>令和6年中</t>
    </r>
    <r>
      <rPr>
        <sz val="11"/>
        <color theme="1"/>
        <rFont val="游ゴシック"/>
      </rPr>
      <t>の収入金額等を入力してください。</t>
    </r>
    <rPh sb="0" eb="3">
      <t>セタイヌシ</t>
    </rPh>
    <rPh sb="3" eb="4">
      <t>オヨ</t>
    </rPh>
    <rPh sb="5" eb="8">
      <t>カニュウシャ</t>
    </rPh>
    <rPh sb="9" eb="11">
      <t>レイワ</t>
    </rPh>
    <rPh sb="12" eb="14">
      <t>ネンチュウ</t>
    </rPh>
    <rPh sb="15" eb="17">
      <t>シュウニュウ</t>
    </rPh>
    <rPh sb="17" eb="19">
      <t>キンガク</t>
    </rPh>
    <rPh sb="19" eb="20">
      <t>トウ</t>
    </rPh>
    <rPh sb="21" eb="23">
      <t>ニュウリョク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</si>
</sst>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円&quot;"/>
    <numFmt numFmtId="177" formatCode="#,##0;&quot;▲ &quot;#,##0&quot;円&quot;"/>
    <numFmt numFmtId="178" formatCode="#,##0_ "/>
  </numFmts>
  <fonts count="20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b/>
      <sz val="14"/>
      <color rgb="FFFF0000"/>
      <name val="游ゴシック"/>
      <family val="3"/>
      <scheme val="minor"/>
    </font>
    <font>
      <b/>
      <sz val="20"/>
      <color theme="1"/>
      <name val="游ゴシック"/>
      <family val="3"/>
      <scheme val="minor"/>
    </font>
    <font>
      <sz val="12"/>
      <color auto="1"/>
      <name val="游ゴシック"/>
      <family val="3"/>
      <scheme val="minor"/>
    </font>
    <font>
      <sz val="12"/>
      <color theme="1" tint="0.25"/>
      <name val="游ゴシック"/>
      <family val="3"/>
      <scheme val="minor"/>
    </font>
    <font>
      <b/>
      <sz val="9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13"/>
      <color rgb="FF333333"/>
      <name val="メイリオ"/>
      <family val="3"/>
    </font>
    <font>
      <sz val="6"/>
      <color auto="1"/>
      <name val="ＭＳ Ｐゴシック"/>
      <family val="3"/>
    </font>
  </fonts>
  <fills count="10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176" fontId="7" fillId="4" borderId="1" xfId="3" applyNumberFormat="1" applyFont="1" applyFill="1" applyBorder="1" applyAlignment="1">
      <alignment horizontal="right" vertical="center" indent="2"/>
    </xf>
    <xf numFmtId="176" fontId="4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177" fontId="7" fillId="4" borderId="16" xfId="0" applyNumberFormat="1" applyFont="1" applyFill="1" applyBorder="1" applyAlignment="1">
      <alignment horizontal="right" vertical="center" indent="2"/>
    </xf>
    <xf numFmtId="0" fontId="4" fillId="4" borderId="1" xfId="0" applyFont="1" applyFill="1" applyBorder="1" applyAlignment="1">
      <alignment horizontal="right"/>
    </xf>
    <xf numFmtId="176" fontId="7" fillId="4" borderId="4" xfId="3" applyNumberFormat="1" applyFont="1" applyFill="1" applyBorder="1" applyAlignment="1">
      <alignment horizontal="right" vertical="center" indent="2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4" fillId="3" borderId="1" xfId="3" applyNumberFormat="1" applyFont="1" applyFill="1" applyBorder="1" applyAlignment="1" applyProtection="1">
      <alignment horizontal="right" vertical="center"/>
      <protection locked="0"/>
    </xf>
    <xf numFmtId="0" fontId="5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176" fontId="7" fillId="4" borderId="19" xfId="3" applyNumberFormat="1" applyFont="1" applyFill="1" applyBorder="1" applyAlignment="1">
      <alignment horizontal="right" vertical="center" indent="2"/>
    </xf>
    <xf numFmtId="176" fontId="4" fillId="4" borderId="19" xfId="0" applyNumberFormat="1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 vertical="center" wrapText="1"/>
    </xf>
    <xf numFmtId="0" fontId="9" fillId="5" borderId="0" xfId="0" applyFont="1" applyFill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176" fontId="4" fillId="3" borderId="19" xfId="3" applyNumberFormat="1" applyFont="1" applyFill="1" applyBorder="1" applyAlignment="1" applyProtection="1">
      <alignment horizontal="right" vertical="center"/>
      <protection locked="0"/>
    </xf>
    <xf numFmtId="10" fontId="4" fillId="4" borderId="19" xfId="0" applyNumberFormat="1" applyFont="1" applyFill="1" applyBorder="1" applyAlignment="1">
      <alignment horizontal="left" vertical="center"/>
    </xf>
    <xf numFmtId="0" fontId="10" fillId="4" borderId="19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38" fontId="4" fillId="4" borderId="19" xfId="0" applyNumberFormat="1" applyFont="1" applyFill="1" applyBorder="1" applyAlignment="1">
      <alignment horizontal="center"/>
    </xf>
    <xf numFmtId="38" fontId="12" fillId="2" borderId="13" xfId="3" applyFont="1" applyFill="1" applyBorder="1" applyAlignment="1">
      <alignment horizontal="right" vertical="center" indent="3"/>
    </xf>
    <xf numFmtId="38" fontId="12" fillId="2" borderId="14" xfId="3" applyFont="1" applyFill="1" applyBorder="1" applyAlignment="1">
      <alignment horizontal="right" vertical="center" indent="3"/>
    </xf>
    <xf numFmtId="0" fontId="6" fillId="0" borderId="22" xfId="0" applyFont="1" applyBorder="1" applyAlignment="1">
      <alignment horizontal="center" vertical="center"/>
    </xf>
    <xf numFmtId="176" fontId="4" fillId="3" borderId="22" xfId="3" applyNumberFormat="1" applyFont="1" applyFill="1" applyBorder="1" applyAlignment="1" applyProtection="1">
      <alignment horizontal="right" vertical="center"/>
      <protection locked="0"/>
    </xf>
    <xf numFmtId="0" fontId="4" fillId="4" borderId="22" xfId="0" applyFont="1" applyFill="1" applyBorder="1">
      <alignment vertical="center"/>
    </xf>
    <xf numFmtId="176" fontId="7" fillId="4" borderId="22" xfId="3" applyNumberFormat="1" applyFont="1" applyFill="1" applyBorder="1" applyAlignment="1">
      <alignment horizontal="right" vertical="center" indent="2"/>
    </xf>
    <xf numFmtId="176" fontId="4" fillId="4" borderId="22" xfId="0" applyNumberFormat="1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/>
    </xf>
    <xf numFmtId="38" fontId="12" fillId="2" borderId="17" xfId="3" applyFont="1" applyFill="1" applyBorder="1" applyAlignment="1">
      <alignment horizontal="right" vertical="center" indent="3"/>
    </xf>
    <xf numFmtId="38" fontId="12" fillId="2" borderId="18" xfId="3" applyFont="1" applyFill="1" applyBorder="1" applyAlignment="1">
      <alignment horizontal="right" vertical="center" indent="3"/>
    </xf>
    <xf numFmtId="0" fontId="5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right" vertical="center"/>
    </xf>
    <xf numFmtId="176" fontId="7" fillId="6" borderId="4" xfId="3" applyNumberFormat="1" applyFont="1" applyFill="1" applyBorder="1" applyAlignment="1">
      <alignment horizontal="right" vertical="center" indent="2"/>
    </xf>
    <xf numFmtId="176" fontId="4" fillId="6" borderId="1" xfId="0" applyNumberFormat="1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right" vertical="center"/>
    </xf>
    <xf numFmtId="0" fontId="4" fillId="6" borderId="1" xfId="0" applyFont="1" applyFill="1" applyBorder="1" applyAlignment="1">
      <alignment horizontal="center" vertical="center"/>
    </xf>
    <xf numFmtId="177" fontId="7" fillId="6" borderId="16" xfId="0" applyNumberFormat="1" applyFont="1" applyFill="1" applyBorder="1" applyAlignment="1">
      <alignment horizontal="right" vertical="center" indent="2"/>
    </xf>
    <xf numFmtId="0" fontId="4" fillId="6" borderId="1" xfId="0" applyFont="1" applyFill="1" applyBorder="1" applyAlignment="1">
      <alignment horizontal="right"/>
    </xf>
    <xf numFmtId="38" fontId="12" fillId="2" borderId="20" xfId="3" applyFont="1" applyFill="1" applyBorder="1" applyAlignment="1">
      <alignment horizontal="right" vertical="center" indent="3"/>
    </xf>
    <xf numFmtId="38" fontId="12" fillId="2" borderId="21" xfId="3" applyFont="1" applyFill="1" applyBorder="1" applyAlignment="1">
      <alignment horizontal="right" vertical="center" indent="3"/>
    </xf>
    <xf numFmtId="0" fontId="5" fillId="6" borderId="19" xfId="0" applyFont="1" applyFill="1" applyBorder="1" applyAlignment="1">
      <alignment horizontal="center" vertical="center"/>
    </xf>
    <xf numFmtId="0" fontId="13" fillId="6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176" fontId="4" fillId="6" borderId="19" xfId="0" applyNumberFormat="1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0" fontId="13" fillId="6" borderId="19" xfId="0" applyNumberFormat="1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6" borderId="22" xfId="0" applyFont="1" applyFill="1" applyBorder="1" applyAlignment="1">
      <alignment horizontal="center" vertical="center"/>
    </xf>
    <xf numFmtId="0" fontId="13" fillId="6" borderId="22" xfId="0" applyFont="1" applyFill="1" applyBorder="1">
      <alignment vertical="center"/>
    </xf>
    <xf numFmtId="0" fontId="4" fillId="6" borderId="22" xfId="0" applyFont="1" applyFill="1" applyBorder="1">
      <alignment vertical="center"/>
    </xf>
    <xf numFmtId="176" fontId="4" fillId="6" borderId="22" xfId="0" applyNumberFormat="1" applyFont="1" applyFill="1" applyBorder="1" applyAlignment="1">
      <alignment horizontal="left" vertical="center"/>
    </xf>
    <xf numFmtId="0" fontId="4" fillId="6" borderId="22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right" vertical="center"/>
    </xf>
    <xf numFmtId="0" fontId="5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right" vertical="center"/>
    </xf>
    <xf numFmtId="176" fontId="7" fillId="7" borderId="4" xfId="3" applyNumberFormat="1" applyFont="1" applyFill="1" applyBorder="1" applyAlignment="1">
      <alignment horizontal="right" vertical="center" indent="2"/>
    </xf>
    <xf numFmtId="176" fontId="4" fillId="7" borderId="1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center" vertical="center"/>
    </xf>
    <xf numFmtId="177" fontId="7" fillId="7" borderId="16" xfId="0" applyNumberFormat="1" applyFont="1" applyFill="1" applyBorder="1" applyAlignment="1">
      <alignment horizontal="right" vertical="center" indent="2"/>
    </xf>
    <xf numFmtId="0" fontId="4" fillId="7" borderId="1" xfId="0" applyFont="1" applyFill="1" applyBorder="1" applyAlignment="1">
      <alignment horizontal="right"/>
    </xf>
    <xf numFmtId="176" fontId="4" fillId="0" borderId="1" xfId="3" applyNumberFormat="1" applyFont="1" applyFill="1" applyBorder="1" applyAlignment="1">
      <alignment horizontal="right" vertical="center"/>
    </xf>
    <xf numFmtId="0" fontId="13" fillId="7" borderId="1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176" fontId="4" fillId="7" borderId="19" xfId="0" applyNumberFormat="1" applyFont="1" applyFill="1" applyBorder="1" applyAlignment="1">
      <alignment horizontal="left" vertical="center"/>
    </xf>
    <xf numFmtId="0" fontId="4" fillId="7" borderId="19" xfId="0" applyFont="1" applyFill="1" applyBorder="1" applyAlignment="1">
      <alignment horizontal="right"/>
    </xf>
    <xf numFmtId="176" fontId="4" fillId="0" borderId="19" xfId="3" applyNumberFormat="1" applyFont="1" applyFill="1" applyBorder="1" applyAlignment="1">
      <alignment horizontal="right" vertical="center"/>
    </xf>
    <xf numFmtId="10" fontId="13" fillId="7" borderId="19" xfId="0" applyNumberFormat="1" applyFont="1" applyFill="1" applyBorder="1" applyAlignment="1">
      <alignment horizontal="left" vertical="center"/>
    </xf>
    <xf numFmtId="0" fontId="10" fillId="7" borderId="19" xfId="0" applyFont="1" applyFill="1" applyBorder="1" applyAlignment="1">
      <alignment horizontal="center" vertical="center"/>
    </xf>
    <xf numFmtId="0" fontId="11" fillId="7" borderId="19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/>
    </xf>
    <xf numFmtId="0" fontId="0" fillId="0" borderId="7" xfId="0" applyBorder="1">
      <alignment vertical="center"/>
    </xf>
    <xf numFmtId="176" fontId="4" fillId="0" borderId="22" xfId="3" applyNumberFormat="1" applyFont="1" applyFill="1" applyBorder="1" applyAlignment="1">
      <alignment horizontal="right" vertical="center"/>
    </xf>
    <xf numFmtId="0" fontId="13" fillId="7" borderId="22" xfId="0" applyFont="1" applyFill="1" applyBorder="1">
      <alignment vertical="center"/>
    </xf>
    <xf numFmtId="0" fontId="4" fillId="7" borderId="22" xfId="0" applyFont="1" applyFill="1" applyBorder="1">
      <alignment vertical="center"/>
    </xf>
    <xf numFmtId="176" fontId="4" fillId="7" borderId="22" xfId="0" applyNumberFormat="1" applyFont="1" applyFill="1" applyBorder="1" applyAlignment="1">
      <alignment horizontal="left" vertical="center"/>
    </xf>
    <xf numFmtId="0" fontId="4" fillId="7" borderId="22" xfId="0" applyFont="1" applyFill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0" fillId="3" borderId="0" xfId="0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38" fontId="0" fillId="0" borderId="4" xfId="3" applyFont="1" applyBorder="1">
      <alignment vertical="center"/>
    </xf>
    <xf numFmtId="0" fontId="0" fillId="0" borderId="26" xfId="0" applyBorder="1">
      <alignment vertical="center"/>
    </xf>
    <xf numFmtId="0" fontId="6" fillId="0" borderId="0" xfId="0" applyFont="1" applyAlignment="1">
      <alignment horizontal="center" vertical="center"/>
    </xf>
    <xf numFmtId="38" fontId="0" fillId="0" borderId="4" xfId="3" applyFont="1" applyFill="1" applyBorder="1" applyProtection="1">
      <alignment vertical="center"/>
      <protection locked="0"/>
    </xf>
    <xf numFmtId="0" fontId="6" fillId="8" borderId="4" xfId="0" applyFont="1" applyFill="1" applyBorder="1" applyAlignment="1">
      <alignment horizontal="center" vertical="center"/>
    </xf>
    <xf numFmtId="38" fontId="6" fillId="8" borderId="1" xfId="0" applyNumberFormat="1" applyFont="1" applyFill="1" applyBorder="1" applyAlignment="1">
      <alignment horizontal="right" vertical="center" indent="1"/>
    </xf>
    <xf numFmtId="0" fontId="15" fillId="8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right" vertical="center" inden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4" xfId="0" applyFont="1" applyFill="1" applyBorder="1" applyAlignment="1">
      <alignment horizontal="center" vertical="center" wrapText="1"/>
    </xf>
    <xf numFmtId="38" fontId="0" fillId="3" borderId="22" xfId="3" applyFont="1" applyFill="1" applyBorder="1">
      <alignment vertical="center"/>
    </xf>
    <xf numFmtId="38" fontId="6" fillId="8" borderId="22" xfId="0" applyNumberFormat="1" applyFont="1" applyFill="1" applyBorder="1" applyAlignment="1">
      <alignment horizontal="right" vertical="center" indent="1"/>
    </xf>
    <xf numFmtId="0" fontId="6" fillId="8" borderId="22" xfId="0" applyFont="1" applyFill="1" applyBorder="1" applyAlignment="1">
      <alignment horizontal="right" vertical="center" inden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10" fontId="0" fillId="9" borderId="4" xfId="4" applyNumberFormat="1" applyFont="1" applyFill="1" applyBorder="1" applyAlignment="1">
      <alignment horizontal="center" vertical="center"/>
    </xf>
    <xf numFmtId="10" fontId="0" fillId="9" borderId="16" xfId="4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38" fontId="0" fillId="3" borderId="4" xfId="3" applyFont="1" applyFill="1" applyBorder="1">
      <alignment vertical="center"/>
    </xf>
    <xf numFmtId="38" fontId="0" fillId="3" borderId="1" xfId="3" applyFont="1" applyFill="1" applyBorder="1">
      <alignment vertical="center"/>
    </xf>
    <xf numFmtId="38" fontId="0" fillId="0" borderId="22" xfId="0" applyNumberFormat="1" applyBorder="1">
      <alignment vertical="center"/>
    </xf>
    <xf numFmtId="38" fontId="0" fillId="9" borderId="4" xfId="3" applyFont="1" applyFill="1" applyBorder="1" applyAlignment="1">
      <alignment horizontal="center" vertical="center"/>
    </xf>
    <xf numFmtId="38" fontId="0" fillId="9" borderId="16" xfId="3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8" borderId="4" xfId="0" applyFont="1" applyFill="1" applyBorder="1">
      <alignment vertical="center"/>
    </xf>
    <xf numFmtId="38" fontId="0" fillId="9" borderId="17" xfId="3" applyFont="1" applyFill="1" applyBorder="1" applyAlignment="1">
      <alignment vertical="center"/>
    </xf>
    <xf numFmtId="38" fontId="0" fillId="9" borderId="4" xfId="3" applyFont="1" applyFill="1" applyBorder="1" applyAlignment="1">
      <alignment vertical="center"/>
    </xf>
    <xf numFmtId="38" fontId="0" fillId="9" borderId="18" xfId="3" applyFont="1" applyFill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0" fillId="9" borderId="30" xfId="3" applyFont="1" applyFill="1" applyBorder="1" applyAlignment="1">
      <alignment horizontal="center" vertical="center"/>
    </xf>
    <xf numFmtId="38" fontId="0" fillId="9" borderId="31" xfId="3" applyFont="1" applyFill="1" applyBorder="1" applyAlignment="1">
      <alignment horizontal="center" vertical="center"/>
    </xf>
    <xf numFmtId="38" fontId="0" fillId="9" borderId="29" xfId="3" applyFont="1" applyFill="1" applyBorder="1" applyAlignment="1">
      <alignment vertical="center"/>
    </xf>
    <xf numFmtId="38" fontId="0" fillId="9" borderId="30" xfId="3" applyFont="1" applyFill="1" applyBorder="1" applyAlignment="1">
      <alignment vertical="center"/>
    </xf>
    <xf numFmtId="38" fontId="0" fillId="9" borderId="32" xfId="3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38" fontId="0" fillId="0" borderId="4" xfId="0" applyNumberFormat="1" applyBorder="1" applyAlignment="1">
      <alignment horizontal="right" vertical="center"/>
    </xf>
    <xf numFmtId="38" fontId="6" fillId="8" borderId="4" xfId="0" applyNumberFormat="1" applyFon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0" fillId="0" borderId="33" xfId="0" applyFont="1" applyBorder="1">
      <alignment vertical="center"/>
    </xf>
    <xf numFmtId="0" fontId="0" fillId="0" borderId="25" xfId="0" applyBorder="1">
      <alignment vertical="center"/>
    </xf>
    <xf numFmtId="3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7" fillId="0" borderId="33" xfId="0" applyFont="1" applyBorder="1">
      <alignment vertical="center"/>
    </xf>
    <xf numFmtId="0" fontId="0" fillId="3" borderId="25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3" borderId="0" xfId="0" applyFill="1" applyAlignment="1">
      <alignment horizontal="center" vertical="center"/>
    </xf>
    <xf numFmtId="0" fontId="0" fillId="0" borderId="2" xfId="0" applyBorder="1">
      <alignment vertical="center"/>
    </xf>
    <xf numFmtId="3" fontId="0" fillId="0" borderId="4" xfId="0" applyNumberFormat="1" applyBorder="1">
      <alignment vertical="center"/>
    </xf>
    <xf numFmtId="178" fontId="0" fillId="0" borderId="19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8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22" xfId="0" applyBorder="1" applyAlignment="1">
      <alignment horizontal="center" vertical="center" wrapText="1"/>
    </xf>
    <xf numFmtId="178" fontId="0" fillId="0" borderId="22" xfId="0" applyNumberFormat="1" applyBorder="1">
      <alignment vertical="center"/>
    </xf>
    <xf numFmtId="38" fontId="0" fillId="0" borderId="0" xfId="3" applyFont="1" applyFill="1" applyBorder="1" applyAlignment="1">
      <alignment horizontal="center" vertical="center"/>
    </xf>
    <xf numFmtId="38" fontId="0" fillId="3" borderId="4" xfId="3" applyFont="1" applyFill="1" applyBorder="1" applyAlignment="1">
      <alignment horizontal="right" vertical="center"/>
    </xf>
    <xf numFmtId="38" fontId="0" fillId="8" borderId="4" xfId="3" applyFont="1" applyFill="1" applyBorder="1">
      <alignment vertical="center"/>
    </xf>
    <xf numFmtId="38" fontId="0" fillId="0" borderId="0" xfId="3" applyFont="1" applyFill="1" applyBorder="1">
      <alignment vertical="center"/>
    </xf>
    <xf numFmtId="0" fontId="0" fillId="0" borderId="19" xfId="0" applyBorder="1">
      <alignment vertical="center"/>
    </xf>
    <xf numFmtId="0" fontId="0" fillId="8" borderId="0" xfId="0" applyFill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8" borderId="7" xfId="0" applyFill="1" applyBorder="1">
      <alignment vertical="center"/>
    </xf>
    <xf numFmtId="38" fontId="0" fillId="8" borderId="4" xfId="3" applyFont="1" applyFill="1" applyBorder="1" applyAlignment="1">
      <alignment horizontal="right" vertical="center"/>
    </xf>
    <xf numFmtId="0" fontId="0" fillId="0" borderId="44" xfId="0" applyBorder="1">
      <alignment vertical="center"/>
    </xf>
    <xf numFmtId="0" fontId="0" fillId="8" borderId="26" xfId="0" applyFill="1" applyBorder="1">
      <alignment vertical="center"/>
    </xf>
    <xf numFmtId="0" fontId="0" fillId="0" borderId="45" xfId="0" applyBorder="1">
      <alignment vertical="center"/>
    </xf>
    <xf numFmtId="0" fontId="18" fillId="0" borderId="0" xfId="0" applyFont="1">
      <alignment vertical="center"/>
    </xf>
    <xf numFmtId="38" fontId="0" fillId="0" borderId="0" xfId="0" applyNumberFormat="1">
      <alignment vertical="center"/>
    </xf>
  </cellXfs>
  <cellStyles count="5">
    <cellStyle name="桁区切り 2" xfId="1"/>
    <cellStyle name="標準" xfId="0" builtinId="0"/>
    <cellStyle name="標準 2" xfId="2"/>
    <cellStyle name="桁区切り" xfId="3" builtinId="6"/>
    <cellStyle name="パーセント" xfId="4" builtinId="5"/>
  </cellStyles>
  <tableStyles count="0" defaultTableStyle="TableStyleMedium2" defaultPivotStyle="PivotStyleLight16"/>
  <colors>
    <mruColors>
      <color rgb="FFFFCCCC"/>
      <color rgb="FFFFCCFF"/>
      <color rgb="FFFFDDFF"/>
      <color rgb="FFFFE5E5"/>
      <color rgb="FFF5C9FF"/>
      <color rgb="FFE4FCC8"/>
      <color rgb="FFFFFF99"/>
      <color rgb="FFFFDDEC"/>
      <color rgb="FF66CCFF"/>
      <color rgb="FFCCE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$S$53" lockText="1" noThreeD="1"/>
</file>

<file path=xl/ctrlProps/ctrlProp2.xml><?xml version="1.0" encoding="utf-8"?>
<formControlPr xmlns="http://schemas.microsoft.com/office/spreadsheetml/2009/9/main" objectType="CheckBox" fmlaLink="$S$54" noThreeD="1"/>
</file>

<file path=xl/ctrlProps/ctrlProp3.xml><?xml version="1.0" encoding="utf-8"?>
<formControlPr xmlns="http://schemas.microsoft.com/office/spreadsheetml/2009/9/main" objectType="CheckBox" fmlaLink="$S$55" noThreeD="1"/>
</file>

<file path=xl/ctrlProps/ctrlProp4.xml><?xml version="1.0" encoding="utf-8"?>
<formControlPr xmlns="http://schemas.microsoft.com/office/spreadsheetml/2009/9/main" objectType="CheckBox" fmlaLink="$S$56" noThreeD="1"/>
</file>

<file path=xl/ctrlProps/ctrlProp5.xml><?xml version="1.0" encoding="utf-8"?>
<formControlPr xmlns="http://schemas.microsoft.com/office/spreadsheetml/2009/9/main" objectType="CheckBox" fmlaLink="$S$57" noThreeD="1"/>
</file>

<file path=xl/ctrlProps/ctrlProp6.xml><?xml version="1.0" encoding="utf-8"?>
<formControlPr xmlns="http://schemas.microsoft.com/office/spreadsheetml/2009/9/main" objectType="CheckBox" fmlaLink="$S$58" noThreeD="1"/>
</file>

<file path=xl/ctrlProps/ctrlProp7.xml><?xml version="1.0" encoding="utf-8"?>
<formControlPr xmlns="http://schemas.microsoft.com/office/spreadsheetml/2009/9/main" objectType="CheckBox" fmlaLink="$S$59" noThreeD="1"/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104775</xdr:colOff>
      <xdr:row>1</xdr:row>
      <xdr:rowOff>113665</xdr:rowOff>
    </xdr:from>
    <xdr:to xmlns:xdr="http://schemas.openxmlformats.org/drawingml/2006/spreadsheetDrawing">
      <xdr:col>13</xdr:col>
      <xdr:colOff>419100</xdr:colOff>
      <xdr:row>4</xdr:row>
      <xdr:rowOff>57150</xdr:rowOff>
    </xdr:to>
    <xdr:sp macro="" textlink="">
      <xdr:nvSpPr>
        <xdr:cNvPr id="2" name="四角形: 角を丸くする 1"/>
        <xdr:cNvSpPr/>
      </xdr:nvSpPr>
      <xdr:spPr>
        <a:xfrm>
          <a:off x="533400" y="618490"/>
          <a:ext cx="7896225" cy="657860"/>
        </a:xfrm>
        <a:prstGeom prst="roundRect">
          <a:avLst>
            <a:gd name="adj" fmla="val 35508"/>
          </a:avLst>
        </a:prstGeom>
        <a:solidFill>
          <a:srgbClr val="FF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latin typeface="メイリオ"/>
              <a:ea typeface="メイリオ"/>
            </a:rPr>
            <a:t>令和７年度国民健康保険料　試算シート　</a:t>
          </a:r>
          <a:endParaRPr kumimoji="1" lang="ja-JP" altLang="en-US" sz="2000" b="1">
            <a:latin typeface="メイリオ"/>
            <a:ea typeface="メイリオ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52</xdr:row>
          <xdr:rowOff>0</xdr:rowOff>
        </xdr:from>
        <xdr:to xmlns:xdr="http://schemas.openxmlformats.org/drawingml/2006/spreadsheetDrawing">
          <xdr:col>16</xdr:col>
          <xdr:colOff>0</xdr:colOff>
          <xdr:row>52</xdr:row>
          <xdr:rowOff>247650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2944475"/>
              <a:ext cx="352425" cy="247650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53</xdr:row>
          <xdr:rowOff>0</xdr:rowOff>
        </xdr:from>
        <xdr:to xmlns:xdr="http://schemas.openxmlformats.org/drawingml/2006/spreadsheetDrawing">
          <xdr:col>16</xdr:col>
          <xdr:colOff>0</xdr:colOff>
          <xdr:row>53</xdr:row>
          <xdr:rowOff>238125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32492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54</xdr:row>
          <xdr:rowOff>0</xdr:rowOff>
        </xdr:from>
        <xdr:to xmlns:xdr="http://schemas.openxmlformats.org/drawingml/2006/spreadsheetDrawing">
          <xdr:col>16</xdr:col>
          <xdr:colOff>0</xdr:colOff>
          <xdr:row>54</xdr:row>
          <xdr:rowOff>238125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35540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55</xdr:row>
          <xdr:rowOff>0</xdr:rowOff>
        </xdr:from>
        <xdr:to xmlns:xdr="http://schemas.openxmlformats.org/drawingml/2006/spreadsheetDrawing">
          <xdr:col>16</xdr:col>
          <xdr:colOff>0</xdr:colOff>
          <xdr:row>55</xdr:row>
          <xdr:rowOff>238125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38588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56</xdr:row>
          <xdr:rowOff>0</xdr:rowOff>
        </xdr:from>
        <xdr:to xmlns:xdr="http://schemas.openxmlformats.org/drawingml/2006/spreadsheetDrawing">
          <xdr:col>16</xdr:col>
          <xdr:colOff>0</xdr:colOff>
          <xdr:row>56</xdr:row>
          <xdr:rowOff>238125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41636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57</xdr:row>
          <xdr:rowOff>0</xdr:rowOff>
        </xdr:from>
        <xdr:to xmlns:xdr="http://schemas.openxmlformats.org/drawingml/2006/spreadsheetDrawing">
          <xdr:col>16</xdr:col>
          <xdr:colOff>0</xdr:colOff>
          <xdr:row>57</xdr:row>
          <xdr:rowOff>238125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44684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180975</xdr:colOff>
          <xdr:row>58</xdr:row>
          <xdr:rowOff>0</xdr:rowOff>
        </xdr:from>
        <xdr:to xmlns:xdr="http://schemas.openxmlformats.org/drawingml/2006/spreadsheetDrawing">
          <xdr:col>16</xdr:col>
          <xdr:colOff>0</xdr:colOff>
          <xdr:row>58</xdr:row>
          <xdr:rowOff>238125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9096375" y="14773275"/>
              <a:ext cx="352425" cy="238125"/>
            </a:xfrm>
            <a:prstGeom prst="rect"/>
          </xdr:spPr>
        </xdr:sp>
        <xdr:clientData fLocksWithSheet="0"/>
      </xdr:twoCellAnchor>
    </mc:Choice>
    <mc:Fallback/>
  </mc:AlternateContent>
  <xdr:twoCellAnchor>
    <xdr:from xmlns:xdr="http://schemas.openxmlformats.org/drawingml/2006/spreadsheetDrawing">
      <xdr:col>24</xdr:col>
      <xdr:colOff>131445</xdr:colOff>
      <xdr:row>70</xdr:row>
      <xdr:rowOff>3175</xdr:rowOff>
    </xdr:from>
    <xdr:to xmlns:xdr="http://schemas.openxmlformats.org/drawingml/2006/spreadsheetDrawing">
      <xdr:col>28</xdr:col>
      <xdr:colOff>360045</xdr:colOff>
      <xdr:row>72</xdr:row>
      <xdr:rowOff>497840</xdr:rowOff>
    </xdr:to>
    <xdr:sp macro="" textlink="">
      <xdr:nvSpPr>
        <xdr:cNvPr id="3" name="吹き出し: 角を丸めた四角形 2"/>
        <xdr:cNvSpPr/>
      </xdr:nvSpPr>
      <xdr:spPr>
        <a:xfrm>
          <a:off x="15380970" y="18938875"/>
          <a:ext cx="3371850" cy="1447165"/>
        </a:xfrm>
        <a:prstGeom prst="wedgeRoundRectCallout">
          <a:avLst>
            <a:gd name="adj1" fmla="val -73546"/>
            <a:gd name="adj2" fmla="val -17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料率変更時には、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この表を修正したら、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計算表にはすべて反映できます。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一番上の「令和〇年度　松江市試算シート」の数字と、説明文のみ変更してください。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120650</xdr:colOff>
      <xdr:row>38</xdr:row>
      <xdr:rowOff>100965</xdr:rowOff>
    </xdr:from>
    <xdr:to xmlns:xdr="http://schemas.openxmlformats.org/drawingml/2006/spreadsheetDrawing">
      <xdr:col>13</xdr:col>
      <xdr:colOff>568325</xdr:colOff>
      <xdr:row>50</xdr:row>
      <xdr:rowOff>98425</xdr:rowOff>
    </xdr:to>
    <xdr:sp macro="" textlink="">
      <xdr:nvSpPr>
        <xdr:cNvPr id="4" name="四角形: 角を丸くする 3"/>
        <xdr:cNvSpPr/>
      </xdr:nvSpPr>
      <xdr:spPr>
        <a:xfrm>
          <a:off x="549275" y="9435465"/>
          <a:ext cx="8029575" cy="2854960"/>
        </a:xfrm>
        <a:prstGeom prst="roundRect">
          <a:avLst>
            <a:gd name="adj" fmla="val 13151"/>
          </a:avLst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注意</a:t>
          </a:r>
          <a:r>
            <a:rPr kumimoji="1" lang="ja-JP" altLang="en-US" sz="1800" b="1">
              <a:solidFill>
                <a:srgbClr val="FF0000"/>
              </a:solidFill>
              <a:latin typeface="メイリオ"/>
              <a:ea typeface="メイリオ"/>
            </a:rPr>
            <a:t>　</a:t>
          </a:r>
          <a:r>
            <a:rPr kumimoji="1" lang="ja-JP" altLang="en-US" sz="1200" b="1">
              <a:solidFill>
                <a:srgbClr val="FF0000"/>
              </a:solidFill>
              <a:latin typeface="メイリオ"/>
              <a:ea typeface="メイリオ"/>
            </a:rPr>
            <a:t>結果はあくまでも試算であり、実際の保険料と異なる場合があります。</a:t>
          </a:r>
          <a:endParaRPr kumimoji="1" lang="en-US" altLang="ja-JP" sz="1400" b="1">
            <a:solidFill>
              <a:srgbClr val="FF0000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50" b="1">
              <a:solidFill>
                <a:schemeClr val="tx1"/>
              </a:solidFill>
              <a:latin typeface="メイリオ"/>
              <a:ea typeface="メイリオ"/>
            </a:rPr>
            <a:t>　</a:t>
          </a:r>
          <a:r>
            <a:rPr kumimoji="1" lang="ja-JP" altLang="en-US" sz="1200" b="1">
              <a:solidFill>
                <a:schemeClr val="tx1"/>
              </a:solidFill>
              <a:latin typeface="メイリオ"/>
              <a:ea typeface="メイリオ"/>
            </a:rPr>
            <a:t>　</a:t>
          </a:r>
          <a:r>
            <a:rPr kumimoji="1" lang="ja-JP" altLang="en-US" sz="1200" b="1">
              <a:solidFill>
                <a:schemeClr val="tx1"/>
              </a:solidFill>
              <a:latin typeface="メイリオ"/>
              <a:ea typeface="メイリオ"/>
            </a:rPr>
            <a:t>下記のいずれかに該当する場合はこのシートでは正しく計算できません。</a:t>
          </a:r>
          <a:endParaRPr kumimoji="1" lang="en-US" altLang="ja-JP" sz="12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・年度途中で加入者の所得や加入人数が変更になる場合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・年度途中に加入者が</a:t>
          </a:r>
          <a:r>
            <a:rPr kumimoji="1" lang="en-US" altLang="ja-JP" sz="1000" b="1">
              <a:solidFill>
                <a:schemeClr val="tx1"/>
              </a:solidFill>
              <a:latin typeface="メイリオ"/>
              <a:ea typeface="メイリオ"/>
            </a:rPr>
            <a:t>40</a:t>
          </a: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歳・</a:t>
          </a:r>
          <a:r>
            <a:rPr kumimoji="1" lang="en-US" altLang="ja-JP" sz="1000" b="1">
              <a:solidFill>
                <a:schemeClr val="tx1"/>
              </a:solidFill>
              <a:latin typeface="メイリオ"/>
              <a:ea typeface="メイリオ"/>
            </a:rPr>
            <a:t>65</a:t>
          </a: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歳・</a:t>
          </a:r>
          <a:r>
            <a:rPr kumimoji="1" lang="en-US" altLang="ja-JP" sz="1000" b="1">
              <a:solidFill>
                <a:schemeClr val="tx1"/>
              </a:solidFill>
              <a:latin typeface="メイリオ"/>
              <a:ea typeface="メイリオ"/>
            </a:rPr>
            <a:t>75</a:t>
          </a: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歳に到達する場合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・年度途中で加入者が後期高齢者医療制度に加入し、残った国民健康保険の加入者が</a:t>
          </a:r>
          <a:r>
            <a:rPr kumimoji="1" lang="en-US" altLang="ja-JP" sz="1000" b="1">
              <a:solidFill>
                <a:schemeClr val="tx1"/>
              </a:solidFill>
              <a:latin typeface="メイリオ"/>
              <a:ea typeface="メイリオ"/>
            </a:rPr>
            <a:t>1</a:t>
          </a: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人になる場合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・専従者控除、または専従者給与のある方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・総所得金額に分離課税所得（土地・株式等の譲渡所得等）がある場合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・給与所得と年金所得があり、下記の理由で所得金額調整控除に影響がある場合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　（昭和35年１月１日生まれの人で年金所得がある場合、その所得から15万控除します。）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・複数収入がある場合　→　額に応じて正しい計算ができない場合がある</a:t>
          </a:r>
          <a:endParaRPr kumimoji="1" lang="en-US" altLang="ja-JP" sz="1000" b="1">
            <a:solidFill>
              <a:schemeClr val="tx1"/>
            </a:solidFill>
            <a:latin typeface="メイリオ"/>
            <a:ea typeface="メイリオ"/>
          </a:endParaRPr>
        </a:p>
        <a:p>
          <a:pPr algn="l">
            <a:lnSpc>
              <a:spcPct val="80000"/>
            </a:lnSpc>
            <a:spcBef>
              <a:spcPts val="0"/>
            </a:spcBef>
            <a:spcAft>
              <a:spcPts val="0"/>
            </a:spcAft>
          </a:pPr>
          <a:r>
            <a:rPr kumimoji="1" lang="ja-JP" altLang="en-US" sz="1000" b="1">
              <a:solidFill>
                <a:schemeClr val="tx1"/>
              </a:solidFill>
              <a:latin typeface="メイリオ"/>
              <a:ea typeface="メイリオ"/>
            </a:rPr>
            <a:t>　　　　　（例：給与所得がある　かつ　年金雑所得が15～25万の65歳以上の方</a:t>
          </a:r>
          <a:r>
            <a:rPr kumimoji="1" lang="ja-JP" altLang="en-US" sz="1050" b="1">
              <a:solidFill>
                <a:schemeClr val="tx1"/>
              </a:solidFill>
              <a:latin typeface="メイリオ"/>
              <a:ea typeface="メイリオ"/>
            </a:rPr>
            <a:t>）</a:t>
          </a:r>
          <a:endParaRPr kumimoji="1" lang="en-US" altLang="ja-JP" sz="1050" b="1">
            <a:solidFill>
              <a:schemeClr val="tx1"/>
            </a:solidFill>
            <a:latin typeface="メイリオ"/>
            <a:ea typeface="メイリオ"/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0</xdr:colOff>
      <xdr:row>70</xdr:row>
      <xdr:rowOff>29210</xdr:rowOff>
    </xdr:from>
    <xdr:to xmlns:xdr="http://schemas.openxmlformats.org/drawingml/2006/spreadsheetDrawing">
      <xdr:col>3</xdr:col>
      <xdr:colOff>419100</xdr:colOff>
      <xdr:row>71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1724025" y="18964910"/>
          <a:ext cx="419100" cy="3994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ア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</xdr:col>
      <xdr:colOff>0</xdr:colOff>
      <xdr:row>70</xdr:row>
      <xdr:rowOff>38735</xdr:rowOff>
    </xdr:from>
    <xdr:to xmlns:xdr="http://schemas.openxmlformats.org/drawingml/2006/spreadsheetDrawing">
      <xdr:col>7</xdr:col>
      <xdr:colOff>419100</xdr:colOff>
      <xdr:row>71</xdr:row>
      <xdr:rowOff>27940</xdr:rowOff>
    </xdr:to>
    <xdr:sp macro="" textlink="">
      <xdr:nvSpPr>
        <xdr:cNvPr id="6" name="テキスト ボックス 5"/>
        <xdr:cNvSpPr txBox="1"/>
      </xdr:nvSpPr>
      <xdr:spPr>
        <a:xfrm>
          <a:off x="4105275" y="18974435"/>
          <a:ext cx="41910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イ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11</xdr:col>
      <xdr:colOff>18415</xdr:colOff>
      <xdr:row>70</xdr:row>
      <xdr:rowOff>48260</xdr:rowOff>
    </xdr:from>
    <xdr:to xmlns:xdr="http://schemas.openxmlformats.org/drawingml/2006/spreadsheetDrawing">
      <xdr:col>11</xdr:col>
      <xdr:colOff>437515</xdr:colOff>
      <xdr:row>71</xdr:row>
      <xdr:rowOff>38100</xdr:rowOff>
    </xdr:to>
    <xdr:sp macro="" textlink="">
      <xdr:nvSpPr>
        <xdr:cNvPr id="7" name="テキスト ボックス 6"/>
        <xdr:cNvSpPr txBox="1"/>
      </xdr:nvSpPr>
      <xdr:spPr>
        <a:xfrm>
          <a:off x="6552565" y="18983960"/>
          <a:ext cx="419100" cy="3994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ウ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112395</xdr:colOff>
      <xdr:row>26</xdr:row>
      <xdr:rowOff>158115</xdr:rowOff>
    </xdr:from>
    <xdr:to xmlns:xdr="http://schemas.openxmlformats.org/drawingml/2006/spreadsheetDrawing">
      <xdr:col>10</xdr:col>
      <xdr:colOff>111125</xdr:colOff>
      <xdr:row>35</xdr:row>
      <xdr:rowOff>222250</xdr:rowOff>
    </xdr:to>
    <xdr:grpSp>
      <xdr:nvGrpSpPr>
        <xdr:cNvPr id="13" name="グループ化 12"/>
        <xdr:cNvGrpSpPr/>
      </xdr:nvGrpSpPr>
      <xdr:grpSpPr>
        <a:xfrm>
          <a:off x="112395" y="6635115"/>
          <a:ext cx="6247130" cy="2207260"/>
          <a:chOff x="312965" y="4476751"/>
          <a:chExt cx="6109607" cy="2305855"/>
        </a:xfrm>
      </xdr:grpSpPr>
      <xdr:pic macro="">
        <xdr:nvPicPr>
          <xdr:cNvPr id="9" name="図 8"/>
          <xdr:cNvPicPr>
            <a:picLocks noChangeAspect="1"/>
          </xdr:cNvPicPr>
        </xdr:nvPicPr>
        <xdr:blipFill>
          <a:blip xmlns:r="http://schemas.openxmlformats.org/officeDocument/2006/relationships" r:embed="rId1"/>
          <a:srcRect l="5022" t="18253" r="24588" b="31898"/>
          <a:stretch>
            <a:fillRect/>
          </a:stretch>
        </xdr:blipFill>
        <xdr:spPr>
          <a:xfrm>
            <a:off x="312965" y="4476751"/>
            <a:ext cx="6109607" cy="2305855"/>
          </a:xfrm>
          <a:prstGeom prst="rect">
            <a:avLst/>
          </a:prstGeom>
        </xdr:spPr>
      </xdr:pic>
      <xdr:sp macro="" textlink="">
        <xdr:nvSpPr>
          <xdr:cNvPr id="10" name="正方形/長方形 9"/>
          <xdr:cNvSpPr/>
        </xdr:nvSpPr>
        <xdr:spPr>
          <a:xfrm>
            <a:off x="1660071" y="5837464"/>
            <a:ext cx="1211036" cy="4762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 xmlns:xdr="http://schemas.openxmlformats.org/drawingml/2006/spreadsheetDrawing">
      <xdr:col>10</xdr:col>
      <xdr:colOff>97790</xdr:colOff>
      <xdr:row>26</xdr:row>
      <xdr:rowOff>184150</xdr:rowOff>
    </xdr:from>
    <xdr:to xmlns:xdr="http://schemas.openxmlformats.org/drawingml/2006/spreadsheetDrawing">
      <xdr:col>33</xdr:col>
      <xdr:colOff>650240</xdr:colOff>
      <xdr:row>36</xdr:row>
      <xdr:rowOff>210820</xdr:rowOff>
    </xdr:to>
    <xdr:grpSp>
      <xdr:nvGrpSpPr>
        <xdr:cNvPr id="14" name="グループ化 13"/>
        <xdr:cNvGrpSpPr/>
      </xdr:nvGrpSpPr>
      <xdr:grpSpPr>
        <a:xfrm>
          <a:off x="6346190" y="6661150"/>
          <a:ext cx="15868650" cy="2407920"/>
          <a:chOff x="6626679" y="4612821"/>
          <a:chExt cx="6879770" cy="2639786"/>
        </a:xfrm>
      </xdr:grpSpPr>
      <xdr:pic macro="">
        <xdr:nvPicPr>
          <xdr:cNvPr id="11" name="図 10"/>
          <xdr:cNvPicPr>
            <a:picLocks noChangeAspect="1"/>
          </xdr:cNvPicPr>
        </xdr:nvPicPr>
        <xdr:blipFill>
          <a:blip xmlns:r="http://schemas.openxmlformats.org/officeDocument/2006/relationships" r:embed="rId2"/>
          <a:srcRect l="8994" t="23453" r="24902" b="28955"/>
          <a:stretch>
            <a:fillRect/>
          </a:stretch>
        </xdr:blipFill>
        <xdr:spPr>
          <a:xfrm>
            <a:off x="6626679" y="4612821"/>
            <a:ext cx="6879770" cy="2639786"/>
          </a:xfrm>
          <a:prstGeom prst="rect">
            <a:avLst/>
          </a:prstGeom>
        </xdr:spPr>
      </xdr:pic>
      <xdr:sp macro="" textlink="">
        <xdr:nvSpPr>
          <xdr:cNvPr id="12" name="正方形/長方形 11"/>
          <xdr:cNvSpPr/>
        </xdr:nvSpPr>
        <xdr:spPr>
          <a:xfrm>
            <a:off x="8479970" y="5676900"/>
            <a:ext cx="2500993" cy="990601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6:AA77"/>
  <sheetViews>
    <sheetView showGridLines="0" tabSelected="1" topLeftCell="A22" zoomScale="85" zoomScaleNormal="85" workbookViewId="0">
      <selection activeCell="B53" sqref="B53"/>
    </sheetView>
  </sheetViews>
  <sheetFormatPr defaultRowHeight="18.75"/>
  <cols>
    <col min="1" max="1" width="5.625" customWidth="1"/>
    <col min="2" max="2" width="6.625" customWidth="1"/>
    <col min="3" max="3" width="10.375" customWidth="1"/>
    <col min="4" max="4" width="15.625" customWidth="1"/>
    <col min="5" max="5" width="3.75" customWidth="1"/>
    <col min="6" max="6" width="8.75" customWidth="1"/>
    <col min="7" max="7" width="3.125" customWidth="1"/>
    <col min="8" max="8" width="15.625" style="1" customWidth="1"/>
    <col min="9" max="9" width="3.75" style="1" customWidth="1"/>
    <col min="10" max="10" width="8.75" style="1" customWidth="1"/>
    <col min="11" max="11" width="3.75" style="1" customWidth="1"/>
    <col min="12" max="12" width="15.625" customWidth="1"/>
    <col min="13" max="13" width="3.75" customWidth="1"/>
    <col min="14" max="14" width="8.75" customWidth="1"/>
    <col min="15" max="15" width="3.125" customWidth="1"/>
    <col min="16" max="16" width="7" customWidth="1"/>
    <col min="17" max="17" width="6.25" customWidth="1"/>
    <col min="18" max="18" width="9.75" hidden="1" customWidth="1"/>
    <col min="19" max="19" width="9.875" style="2" hidden="1" customWidth="1"/>
    <col min="20" max="20" width="10.875" hidden="1" customWidth="1"/>
    <col min="21" max="21" width="10" hidden="1" customWidth="1"/>
    <col min="22" max="22" width="9.5" hidden="1" customWidth="1"/>
    <col min="23" max="23" width="10.375" hidden="1" customWidth="1"/>
    <col min="24" max="24" width="9.5" hidden="1" customWidth="1"/>
    <col min="25" max="25" width="12.25" hidden="1" customWidth="1"/>
    <col min="26" max="26" width="6.875" hidden="1" customWidth="1"/>
    <col min="27" max="27" width="7.375" hidden="1" customWidth="1"/>
    <col min="28" max="28" width="14.75" hidden="1" customWidth="1"/>
    <col min="29" max="30" width="7.875" hidden="1" customWidth="1"/>
    <col min="31" max="31" width="7.875" customWidth="1"/>
  </cols>
  <sheetData>
    <row r="1" spans="2:15" ht="39.75" customHeight="1"/>
    <row r="6" spans="2:15" ht="19.5">
      <c r="B6" s="5" t="s">
        <v>70</v>
      </c>
      <c r="C6" s="5"/>
      <c r="D6" s="5"/>
      <c r="E6" s="5"/>
      <c r="F6" s="5"/>
      <c r="G6" s="5"/>
      <c r="H6" s="5"/>
      <c r="I6" s="5"/>
      <c r="J6" s="5"/>
    </row>
    <row r="7" spans="2:15" ht="19.5">
      <c r="B7" s="10"/>
      <c r="C7" s="24" t="s">
        <v>101</v>
      </c>
      <c r="D7" s="36"/>
      <c r="E7" s="36"/>
      <c r="F7" s="36"/>
      <c r="G7" s="36"/>
      <c r="H7" s="36"/>
      <c r="I7" s="36"/>
      <c r="J7" s="36"/>
      <c r="K7" s="103"/>
      <c r="L7" s="103"/>
    </row>
    <row r="9" spans="2:15">
      <c r="B9" s="11" t="s">
        <v>98</v>
      </c>
      <c r="C9" s="25"/>
      <c r="D9" s="37"/>
      <c r="F9" s="61" t="s">
        <v>100</v>
      </c>
      <c r="G9" s="61"/>
      <c r="H9" s="61"/>
      <c r="I9" s="61"/>
      <c r="J9" s="61"/>
      <c r="K9" s="61"/>
      <c r="L9" s="61"/>
      <c r="M9" s="61"/>
      <c r="N9" s="61"/>
      <c r="O9" s="61"/>
    </row>
    <row r="10" spans="2:15">
      <c r="B10" s="12"/>
      <c r="C10" s="26"/>
      <c r="D10" s="38"/>
      <c r="E10" s="50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2" spans="2:15">
      <c r="B12" s="11" t="s">
        <v>86</v>
      </c>
      <c r="C12" s="25"/>
      <c r="D12" s="37"/>
      <c r="F12" s="62" t="s">
        <v>117</v>
      </c>
      <c r="G12" s="62"/>
      <c r="H12" s="62"/>
      <c r="I12" s="62"/>
      <c r="J12" s="62"/>
      <c r="K12" s="62"/>
      <c r="L12" s="62"/>
      <c r="M12" s="62"/>
      <c r="N12" s="62"/>
      <c r="O12" s="62"/>
    </row>
    <row r="13" spans="2:15">
      <c r="B13" s="12"/>
      <c r="C13" s="26"/>
      <c r="D13" s="38"/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5" spans="2:15" ht="18.75" customHeight="1">
      <c r="B15" s="11" t="s">
        <v>83</v>
      </c>
      <c r="C15" s="25"/>
      <c r="D15" s="37"/>
      <c r="F15" s="62" t="s">
        <v>17</v>
      </c>
      <c r="G15" s="62"/>
      <c r="H15" s="62"/>
      <c r="I15" s="62"/>
      <c r="J15" s="62"/>
      <c r="K15" s="62"/>
      <c r="L15" s="62"/>
      <c r="M15" s="62"/>
      <c r="N15" s="62"/>
      <c r="O15" s="62"/>
    </row>
    <row r="16" spans="2:15">
      <c r="B16" s="12"/>
      <c r="C16" s="26"/>
      <c r="D16" s="38"/>
      <c r="E16" s="51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8" spans="2:15">
      <c r="B18" s="11" t="s">
        <v>72</v>
      </c>
      <c r="C18" s="25"/>
      <c r="D18" s="37"/>
      <c r="F18" s="61" t="s">
        <v>118</v>
      </c>
      <c r="G18" s="61"/>
      <c r="H18" s="61"/>
      <c r="I18" s="61"/>
      <c r="J18" s="61"/>
      <c r="K18" s="61"/>
      <c r="L18" s="61"/>
      <c r="M18" s="61"/>
      <c r="N18" s="61"/>
      <c r="O18" s="61"/>
    </row>
    <row r="19" spans="2:15">
      <c r="B19" s="13"/>
      <c r="C19" s="27"/>
      <c r="D19" s="39"/>
      <c r="F19" s="63" t="s">
        <v>73</v>
      </c>
      <c r="G19" s="63"/>
      <c r="H19" s="63"/>
      <c r="I19" s="63"/>
      <c r="J19" s="63"/>
      <c r="K19" s="63"/>
      <c r="L19" s="63"/>
      <c r="M19" s="63"/>
      <c r="N19" s="63"/>
      <c r="O19" s="63"/>
    </row>
    <row r="20" spans="2:15" ht="18.75" customHeight="1">
      <c r="B20" s="13"/>
      <c r="C20" s="27"/>
      <c r="D20" s="39"/>
      <c r="F20" s="62" t="s">
        <v>71</v>
      </c>
      <c r="G20" s="62"/>
      <c r="H20" s="62"/>
      <c r="I20" s="62"/>
      <c r="J20" s="62"/>
      <c r="K20" s="62"/>
      <c r="L20" s="62"/>
      <c r="M20" s="62"/>
      <c r="N20" s="62"/>
      <c r="O20" s="62"/>
    </row>
    <row r="21" spans="2:15">
      <c r="B21" s="13"/>
      <c r="C21" s="27"/>
      <c r="D21" s="39"/>
      <c r="E21" s="51"/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spans="2:15">
      <c r="B22" s="13"/>
      <c r="C22" s="27"/>
      <c r="D22" s="39"/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spans="2:15">
      <c r="B23" s="12"/>
      <c r="C23" s="26"/>
      <c r="D23" s="38"/>
      <c r="F23" s="62" t="s">
        <v>102</v>
      </c>
      <c r="G23" s="62"/>
      <c r="H23" s="62"/>
      <c r="I23" s="62"/>
      <c r="J23" s="62"/>
      <c r="K23" s="62"/>
      <c r="L23" s="62"/>
      <c r="M23" s="62"/>
      <c r="N23" s="62"/>
      <c r="O23" s="62"/>
    </row>
    <row r="25" spans="2:15" ht="18.75" customHeight="1">
      <c r="B25" s="14" t="s">
        <v>74</v>
      </c>
      <c r="C25" s="25"/>
      <c r="D25" s="37"/>
      <c r="F25" s="62" t="s">
        <v>113</v>
      </c>
      <c r="G25" s="62"/>
      <c r="H25" s="62"/>
      <c r="I25" s="62"/>
      <c r="J25" s="62"/>
      <c r="K25" s="62"/>
      <c r="L25" s="62"/>
      <c r="M25" s="62"/>
      <c r="N25" s="62"/>
      <c r="O25" s="62"/>
    </row>
    <row r="26" spans="2:15">
      <c r="B26" s="12"/>
      <c r="C26" s="26"/>
      <c r="D26" s="38"/>
      <c r="E26" s="51"/>
      <c r="F26" s="62"/>
      <c r="G26" s="62"/>
      <c r="H26" s="62"/>
      <c r="I26" s="62"/>
      <c r="J26" s="62"/>
      <c r="K26" s="62"/>
      <c r="L26" s="62"/>
      <c r="M26" s="62"/>
      <c r="N26" s="62"/>
      <c r="O26" s="62"/>
    </row>
    <row r="40" spans="19:27">
      <c r="S40" s="103"/>
      <c r="T40" s="103"/>
      <c r="U40" s="103"/>
      <c r="V40" s="103"/>
      <c r="W40" s="103"/>
      <c r="X40" s="103"/>
      <c r="Y40" s="103"/>
    </row>
    <row r="41" spans="19:27">
      <c r="S41" s="103"/>
    </row>
    <row r="42" spans="19:27">
      <c r="S42" s="103"/>
    </row>
    <row r="43" spans="19:27">
      <c r="S43" s="103"/>
    </row>
    <row r="44" spans="19:27">
      <c r="S44" s="103"/>
    </row>
    <row r="45" spans="19:27">
      <c r="S45" s="103"/>
    </row>
    <row r="46" spans="19:27">
      <c r="S46" s="103"/>
    </row>
    <row r="47" spans="19:27">
      <c r="S47" s="103"/>
      <c r="T47" s="154"/>
      <c r="U47" s="154"/>
      <c r="V47" s="154"/>
      <c r="W47" s="154"/>
      <c r="X47" s="154"/>
      <c r="Y47" s="154"/>
      <c r="Z47" s="154"/>
      <c r="AA47" s="154"/>
    </row>
    <row r="48" spans="19:27">
      <c r="S48" s="103"/>
      <c r="T48" s="154"/>
      <c r="U48" s="154"/>
      <c r="V48" s="154"/>
      <c r="W48" s="154"/>
      <c r="X48" s="154"/>
      <c r="Y48" s="154"/>
      <c r="Z48" s="154"/>
      <c r="AA48" s="154"/>
    </row>
    <row r="49" spans="1:26">
      <c r="S49" s="143"/>
    </row>
    <row r="51" spans="1:26" ht="21.75" customHeight="1">
      <c r="P51" s="2"/>
      <c r="Q51" s="1"/>
      <c r="R51" s="139" t="s">
        <v>103</v>
      </c>
      <c r="S51" s="139"/>
      <c r="T51" s="155" t="s">
        <v>92</v>
      </c>
      <c r="U51" s="164" t="s">
        <v>19</v>
      </c>
      <c r="V51" s="170" t="s">
        <v>93</v>
      </c>
      <c r="W51" s="176"/>
      <c r="X51" s="183"/>
      <c r="Y51" s="139" t="s">
        <v>106</v>
      </c>
      <c r="Z51" s="139"/>
    </row>
    <row r="52" spans="1:26" ht="37.5" customHeight="1">
      <c r="B52" s="15" t="s">
        <v>99</v>
      </c>
      <c r="C52" s="28" t="s">
        <v>85</v>
      </c>
      <c r="D52" s="28" t="s">
        <v>84</v>
      </c>
      <c r="E52" s="52" t="s">
        <v>76</v>
      </c>
      <c r="F52" s="64"/>
      <c r="G52" s="72"/>
      <c r="H52" s="52" t="s">
        <v>77</v>
      </c>
      <c r="I52" s="52" t="s">
        <v>78</v>
      </c>
      <c r="J52" s="64"/>
      <c r="K52" s="72"/>
      <c r="L52" s="110" t="s">
        <v>111</v>
      </c>
      <c r="M52" s="28" t="s">
        <v>112</v>
      </c>
      <c r="N52" s="64"/>
      <c r="O52" s="72"/>
      <c r="P52" s="136" t="s">
        <v>18</v>
      </c>
      <c r="R52" s="140" t="s">
        <v>105</v>
      </c>
      <c r="S52" s="139" t="s">
        <v>104</v>
      </c>
      <c r="T52" s="155"/>
      <c r="U52" s="164"/>
      <c r="V52" s="140" t="s">
        <v>26</v>
      </c>
      <c r="W52" s="139" t="s">
        <v>28</v>
      </c>
      <c r="X52" s="139" t="s">
        <v>81</v>
      </c>
      <c r="Y52" s="139"/>
      <c r="Z52" s="139"/>
    </row>
    <row r="53" spans="1:26" ht="24" customHeight="1">
      <c r="A53" s="3" t="s">
        <v>1</v>
      </c>
      <c r="B53" s="16"/>
      <c r="C53" s="29"/>
      <c r="D53" s="29"/>
      <c r="E53" s="53"/>
      <c r="F53" s="65"/>
      <c r="G53" s="73"/>
      <c r="H53" s="53"/>
      <c r="I53" s="53"/>
      <c r="J53" s="65"/>
      <c r="K53" s="73"/>
      <c r="L53" s="111">
        <f t="shared" ref="L53:L59" si="0">T53+U53+I53</f>
        <v>0</v>
      </c>
      <c r="M53" s="120">
        <f>IF(B53=計算!A3,0,IF($L53&gt;430000,$L53-430000,0))</f>
        <v>0</v>
      </c>
      <c r="N53" s="125"/>
      <c r="O53" s="131"/>
      <c r="P53" s="137"/>
      <c r="R53" s="141">
        <f t="shared" ref="R53:R59" si="1">IF(T53+X53&gt;1,1,0)</f>
        <v>0</v>
      </c>
      <c r="S53" s="144" t="b">
        <v>0</v>
      </c>
      <c r="T53" s="156">
        <f>計算!E$29</f>
        <v>0</v>
      </c>
      <c r="U53" s="165">
        <f>計算!G48</f>
        <v>0</v>
      </c>
      <c r="V53" s="171">
        <f>IF(AND($C53=計算!$C$3,U53&gt;0),U53-150000,0)</f>
        <v>0</v>
      </c>
      <c r="W53" s="141">
        <f>IF($C53=計算!$C$4,U53,0)</f>
        <v>0</v>
      </c>
      <c r="X53" s="165">
        <f t="shared" ref="X53:X59" si="2">MAX(V53+W53,0)</f>
        <v>0</v>
      </c>
      <c r="Y53" s="184">
        <f>IF(X53+T53+I53&gt;0,X53+T53+I53,0)</f>
        <v>0</v>
      </c>
      <c r="Z53" s="186"/>
    </row>
    <row r="54" spans="1:26" ht="24" customHeight="1">
      <c r="A54" s="4" t="s">
        <v>41</v>
      </c>
      <c r="B54" s="17"/>
      <c r="C54" s="29"/>
      <c r="D54" s="29"/>
      <c r="E54" s="53"/>
      <c r="F54" s="65"/>
      <c r="G54" s="73"/>
      <c r="H54" s="53"/>
      <c r="I54" s="53"/>
      <c r="J54" s="65"/>
      <c r="K54" s="73"/>
      <c r="L54" s="111">
        <f t="shared" si="0"/>
        <v>0</v>
      </c>
      <c r="M54" s="120">
        <f t="shared" ref="M54:M59" si="3">IF(ISBLANK($D54),0,IF($L54&gt;430000,$L54-430000,0))</f>
        <v>0</v>
      </c>
      <c r="N54" s="125"/>
      <c r="O54" s="131"/>
      <c r="P54" s="137"/>
      <c r="R54" s="141">
        <f t="shared" si="1"/>
        <v>0</v>
      </c>
      <c r="S54" s="144" t="b">
        <v>0</v>
      </c>
      <c r="T54" s="156">
        <f>計算!F$29</f>
        <v>0</v>
      </c>
      <c r="U54" s="165">
        <f>計算!H48</f>
        <v>0</v>
      </c>
      <c r="V54" s="171">
        <f>IF(AND($C54=計算!$C$3,U54&gt;0),U54-150000,0)</f>
        <v>0</v>
      </c>
      <c r="W54" s="141">
        <f>IF($C54=計算!$C$4,U54,0)</f>
        <v>0</v>
      </c>
      <c r="X54" s="165">
        <f t="shared" si="2"/>
        <v>0</v>
      </c>
      <c r="Y54" s="184">
        <f t="shared" ref="Y54:Y59" si="4">IF(ISBLANK(D54),0,IF(X54+T54+I54&gt;0,X54+T54+I54,0))</f>
        <v>0</v>
      </c>
      <c r="Z54" s="186"/>
    </row>
    <row r="55" spans="1:26" ht="24" customHeight="1">
      <c r="A55" s="4" t="s">
        <v>43</v>
      </c>
      <c r="B55" s="17"/>
      <c r="C55" s="29"/>
      <c r="D55" s="29"/>
      <c r="E55" s="53"/>
      <c r="F55" s="65"/>
      <c r="G55" s="73"/>
      <c r="H55" s="53"/>
      <c r="I55" s="53"/>
      <c r="J55" s="65"/>
      <c r="K55" s="73"/>
      <c r="L55" s="111">
        <f t="shared" si="0"/>
        <v>0</v>
      </c>
      <c r="M55" s="120">
        <f t="shared" si="3"/>
        <v>0</v>
      </c>
      <c r="N55" s="125"/>
      <c r="O55" s="131"/>
      <c r="P55" s="137"/>
      <c r="R55" s="141">
        <f t="shared" si="1"/>
        <v>0</v>
      </c>
      <c r="S55" s="144" t="b">
        <v>0</v>
      </c>
      <c r="T55" s="156">
        <f>計算!G$29</f>
        <v>0</v>
      </c>
      <c r="U55" s="165">
        <f>計算!I48</f>
        <v>0</v>
      </c>
      <c r="V55" s="171">
        <f>IF(AND($C55=計算!$C$3,U55&gt;0),U55-150000,0)</f>
        <v>0</v>
      </c>
      <c r="W55" s="141">
        <f>IF($C55=計算!$C$4,U55,0)</f>
        <v>0</v>
      </c>
      <c r="X55" s="165">
        <f t="shared" si="2"/>
        <v>0</v>
      </c>
      <c r="Y55" s="184">
        <f t="shared" si="4"/>
        <v>0</v>
      </c>
      <c r="Z55" s="186"/>
    </row>
    <row r="56" spans="1:26" ht="24" customHeight="1">
      <c r="A56" s="4" t="s">
        <v>45</v>
      </c>
      <c r="B56" s="17"/>
      <c r="C56" s="29"/>
      <c r="D56" s="29"/>
      <c r="E56" s="53"/>
      <c r="F56" s="65"/>
      <c r="G56" s="73"/>
      <c r="H56" s="53"/>
      <c r="I56" s="53"/>
      <c r="J56" s="65"/>
      <c r="K56" s="73"/>
      <c r="L56" s="111">
        <f t="shared" si="0"/>
        <v>0</v>
      </c>
      <c r="M56" s="120">
        <f t="shared" si="3"/>
        <v>0</v>
      </c>
      <c r="N56" s="125"/>
      <c r="O56" s="131"/>
      <c r="P56" s="137"/>
      <c r="R56" s="141">
        <f t="shared" si="1"/>
        <v>0</v>
      </c>
      <c r="S56" s="144" t="b">
        <v>0</v>
      </c>
      <c r="T56" s="156">
        <f>計算!H$29</f>
        <v>0</v>
      </c>
      <c r="U56" s="165">
        <f>計算!J48</f>
        <v>0</v>
      </c>
      <c r="V56" s="171">
        <f>IF(AND($C56=計算!$C$3,U56&gt;0),U56-150000,0)</f>
        <v>0</v>
      </c>
      <c r="W56" s="141">
        <f>IF($C56=計算!$C$4,U56,0)</f>
        <v>0</v>
      </c>
      <c r="X56" s="165">
        <f t="shared" si="2"/>
        <v>0</v>
      </c>
      <c r="Y56" s="184">
        <f t="shared" si="4"/>
        <v>0</v>
      </c>
      <c r="Z56" s="186"/>
    </row>
    <row r="57" spans="1:26" ht="24" customHeight="1">
      <c r="A57" s="4" t="s">
        <v>48</v>
      </c>
      <c r="B57" s="17"/>
      <c r="C57" s="29"/>
      <c r="D57" s="29"/>
      <c r="E57" s="53"/>
      <c r="F57" s="65"/>
      <c r="G57" s="73"/>
      <c r="H57" s="53"/>
      <c r="I57" s="53"/>
      <c r="J57" s="65"/>
      <c r="K57" s="73"/>
      <c r="L57" s="111">
        <f t="shared" si="0"/>
        <v>0</v>
      </c>
      <c r="M57" s="120">
        <f t="shared" si="3"/>
        <v>0</v>
      </c>
      <c r="N57" s="125"/>
      <c r="O57" s="131"/>
      <c r="P57" s="137"/>
      <c r="R57" s="141">
        <f t="shared" si="1"/>
        <v>0</v>
      </c>
      <c r="S57" s="144" t="b">
        <v>0</v>
      </c>
      <c r="T57" s="156">
        <f>計算!I$29</f>
        <v>0</v>
      </c>
      <c r="U57" s="165">
        <f>計算!K48</f>
        <v>0</v>
      </c>
      <c r="V57" s="171">
        <f>IF(AND($C57=計算!$C$3,U57&gt;0),U57-150000,0)</f>
        <v>0</v>
      </c>
      <c r="W57" s="141">
        <f>IF($C57=計算!$C$4,U57,0)</f>
        <v>0</v>
      </c>
      <c r="X57" s="165">
        <f t="shared" si="2"/>
        <v>0</v>
      </c>
      <c r="Y57" s="184">
        <f t="shared" si="4"/>
        <v>0</v>
      </c>
      <c r="Z57" s="186"/>
    </row>
    <row r="58" spans="1:26" ht="24" customHeight="1">
      <c r="A58" s="4" t="s">
        <v>36</v>
      </c>
      <c r="B58" s="17"/>
      <c r="C58" s="29"/>
      <c r="D58" s="29"/>
      <c r="E58" s="53"/>
      <c r="F58" s="65"/>
      <c r="G58" s="73"/>
      <c r="H58" s="53"/>
      <c r="I58" s="53"/>
      <c r="J58" s="65"/>
      <c r="K58" s="73"/>
      <c r="L58" s="111">
        <f t="shared" si="0"/>
        <v>0</v>
      </c>
      <c r="M58" s="120">
        <f t="shared" si="3"/>
        <v>0</v>
      </c>
      <c r="N58" s="125"/>
      <c r="O58" s="131"/>
      <c r="P58" s="137"/>
      <c r="R58" s="141">
        <f t="shared" si="1"/>
        <v>0</v>
      </c>
      <c r="S58" s="144" t="b">
        <v>0</v>
      </c>
      <c r="T58" s="156">
        <f>計算!J$29</f>
        <v>0</v>
      </c>
      <c r="U58" s="165">
        <f>計算!L48</f>
        <v>0</v>
      </c>
      <c r="V58" s="171">
        <f>IF(AND($C58=計算!$C$3,U58&gt;0),U58-150000,0)</f>
        <v>0</v>
      </c>
      <c r="W58" s="141">
        <f>IF($C58=計算!$C$4,U58,0)</f>
        <v>0</v>
      </c>
      <c r="X58" s="165">
        <f t="shared" si="2"/>
        <v>0</v>
      </c>
      <c r="Y58" s="184">
        <f t="shared" si="4"/>
        <v>0</v>
      </c>
      <c r="Z58" s="186"/>
    </row>
    <row r="59" spans="1:26" ht="24" customHeight="1">
      <c r="A59" s="4" t="s">
        <v>3</v>
      </c>
      <c r="B59" s="17"/>
      <c r="C59" s="29"/>
      <c r="D59" s="29"/>
      <c r="E59" s="53"/>
      <c r="F59" s="65"/>
      <c r="G59" s="73"/>
      <c r="H59" s="53"/>
      <c r="I59" s="53"/>
      <c r="J59" s="65"/>
      <c r="K59" s="73"/>
      <c r="L59" s="111">
        <f t="shared" si="0"/>
        <v>0</v>
      </c>
      <c r="M59" s="120">
        <f t="shared" si="3"/>
        <v>0</v>
      </c>
      <c r="N59" s="125"/>
      <c r="O59" s="131"/>
      <c r="P59" s="137"/>
      <c r="R59" s="141">
        <f t="shared" si="1"/>
        <v>0</v>
      </c>
      <c r="S59" s="144" t="b">
        <v>0</v>
      </c>
      <c r="T59" s="156">
        <f>計算!K$29</f>
        <v>0</v>
      </c>
      <c r="U59" s="166">
        <f>計算!M48</f>
        <v>0</v>
      </c>
      <c r="V59" s="171">
        <f>IF(AND($C59=計算!$C$3,U59&gt;0),U59-150000,0)</f>
        <v>0</v>
      </c>
      <c r="W59" s="141">
        <f>IF($C59=計算!$C$4,U59,0)</f>
        <v>0</v>
      </c>
      <c r="X59" s="165">
        <f t="shared" si="2"/>
        <v>0</v>
      </c>
      <c r="Y59" s="184">
        <f t="shared" si="4"/>
        <v>0</v>
      </c>
      <c r="Z59" s="186"/>
    </row>
    <row r="60" spans="1:26" ht="42.75" customHeight="1"/>
    <row r="61" spans="1:26" ht="30.75" customHeight="1">
      <c r="A61" s="5"/>
      <c r="B61" s="5"/>
      <c r="C61" s="5"/>
      <c r="D61" s="40" t="s">
        <v>4</v>
      </c>
      <c r="E61" s="54"/>
      <c r="F61" s="54"/>
      <c r="G61" s="54"/>
      <c r="H61" s="80" t="s">
        <v>6</v>
      </c>
      <c r="I61" s="90"/>
      <c r="J61" s="90"/>
      <c r="K61" s="104"/>
      <c r="L61" s="112" t="s">
        <v>57</v>
      </c>
      <c r="M61" s="112"/>
      <c r="N61" s="112"/>
      <c r="O61" s="112"/>
      <c r="S61" s="1"/>
    </row>
    <row r="62" spans="1:26" ht="20.25" customHeight="1">
      <c r="A62" s="6" t="s">
        <v>10</v>
      </c>
      <c r="B62" s="18"/>
      <c r="C62" s="30"/>
      <c r="D62" s="41" t="s">
        <v>79</v>
      </c>
      <c r="E62" s="55" t="s">
        <v>59</v>
      </c>
      <c r="F62" s="66">
        <f>T72</f>
        <v>7.8399999999999997e-002</v>
      </c>
      <c r="G62" s="74"/>
      <c r="H62" s="81" t="s">
        <v>87</v>
      </c>
      <c r="I62" s="91" t="s">
        <v>59</v>
      </c>
      <c r="J62" s="97">
        <f>T73</f>
        <v>2.81e-002</v>
      </c>
      <c r="K62" s="105"/>
      <c r="L62" s="113" t="s">
        <v>87</v>
      </c>
      <c r="M62" s="121" t="s">
        <v>59</v>
      </c>
      <c r="N62" s="126">
        <f>T74</f>
        <v>2.76e-002</v>
      </c>
      <c r="O62" s="132"/>
      <c r="P62" s="138"/>
      <c r="S62" s="145" t="s">
        <v>49</v>
      </c>
      <c r="T62" s="145"/>
      <c r="V62" s="172" t="s">
        <v>37</v>
      </c>
      <c r="W62" s="172" t="s">
        <v>27</v>
      </c>
      <c r="X62" s="172" t="s">
        <v>53</v>
      </c>
      <c r="Y62" s="172" t="s">
        <v>80</v>
      </c>
    </row>
    <row r="63" spans="1:26" ht="32.25" customHeight="1">
      <c r="A63" s="7"/>
      <c r="B63" s="19"/>
      <c r="C63" s="31"/>
      <c r="D63" s="42">
        <f>ROUNDDOWN(S63*T72,0)</f>
        <v>0</v>
      </c>
      <c r="E63" s="56"/>
      <c r="F63" s="56"/>
      <c r="G63" s="75"/>
      <c r="H63" s="82">
        <f>ROUNDDOWN(S63*T73,0)</f>
        <v>0</v>
      </c>
      <c r="I63" s="82"/>
      <c r="J63" s="82"/>
      <c r="K63" s="82"/>
      <c r="L63" s="114">
        <f>ROUNDDOWN(S67*T74,0)</f>
        <v>0</v>
      </c>
      <c r="M63" s="114"/>
      <c r="N63" s="114"/>
      <c r="O63" s="114"/>
      <c r="S63" s="146">
        <f>IF(SUM(M53:O59)&lt;0,0,SUM(M53:O59))</f>
        <v>0</v>
      </c>
      <c r="T63" s="157"/>
      <c r="V63" s="172">
        <f>IF(B53=計算!A3,COUNTIF(D54:D59,"40歳～64歳"),COUNTIF(D53:D59,"40歳～64歳"))</f>
        <v>0</v>
      </c>
      <c r="W63" s="172">
        <f>IF(B53=計算!A3,COUNTA(D54:D59),COUNTA(D53:D59))</f>
        <v>0</v>
      </c>
      <c r="X63" s="172">
        <f>IF(B53=計算!A3,COUNTIF(D54:D59,"0歳～5歳"),COUNTIF(D53:D59,"0歳～5歳"))</f>
        <v>0</v>
      </c>
      <c r="Y63" s="185">
        <f>SUM(R53:R59)</f>
        <v>0</v>
      </c>
    </row>
    <row r="64" spans="1:26" ht="20.25" customHeight="1">
      <c r="A64" s="6" t="s">
        <v>11</v>
      </c>
      <c r="B64" s="18"/>
      <c r="C64" s="30"/>
      <c r="D64" s="43">
        <f>U72</f>
        <v>31540</v>
      </c>
      <c r="E64" s="55" t="s">
        <v>59</v>
      </c>
      <c r="F64" s="67">
        <f>W63-X63*0.5</f>
        <v>0</v>
      </c>
      <c r="G64" s="74" t="s">
        <v>54</v>
      </c>
      <c r="H64" s="83">
        <f>U73</f>
        <v>11540</v>
      </c>
      <c r="I64" s="92" t="s">
        <v>59</v>
      </c>
      <c r="J64" s="98">
        <f>W63-X63*0.5</f>
        <v>0</v>
      </c>
      <c r="K64" s="106" t="s">
        <v>54</v>
      </c>
      <c r="L64" s="115">
        <f>U74</f>
        <v>12660</v>
      </c>
      <c r="M64" s="122" t="s">
        <v>59</v>
      </c>
      <c r="N64" s="127">
        <f>V63</f>
        <v>0</v>
      </c>
      <c r="O64" s="133" t="s">
        <v>55</v>
      </c>
      <c r="S64" s="145" t="s">
        <v>51</v>
      </c>
      <c r="T64" s="145"/>
    </row>
    <row r="65" spans="1:23" ht="32.25" customHeight="1">
      <c r="A65" s="7"/>
      <c r="B65" s="19"/>
      <c r="C65" s="31"/>
      <c r="D65" s="42">
        <f>U72*F64</f>
        <v>0</v>
      </c>
      <c r="E65" s="56"/>
      <c r="F65" s="56"/>
      <c r="G65" s="75"/>
      <c r="H65" s="82">
        <f>U73*J64</f>
        <v>0</v>
      </c>
      <c r="I65" s="82"/>
      <c r="J65" s="82"/>
      <c r="K65" s="82"/>
      <c r="L65" s="114">
        <f>U74*N64</f>
        <v>0</v>
      </c>
      <c r="M65" s="114"/>
      <c r="N65" s="114"/>
      <c r="O65" s="114"/>
      <c r="S65" s="146">
        <f>SUM(Y53:Z59)</f>
        <v>0</v>
      </c>
      <c r="T65" s="157"/>
    </row>
    <row r="66" spans="1:23" ht="20.25" customHeight="1">
      <c r="A66" s="6" t="s">
        <v>7</v>
      </c>
      <c r="B66" s="18"/>
      <c r="C66" s="30"/>
      <c r="D66" s="41" t="s">
        <v>88</v>
      </c>
      <c r="E66" s="57">
        <f>V72</f>
        <v>19760</v>
      </c>
      <c r="F66" s="57"/>
      <c r="G66" s="76"/>
      <c r="H66" s="84" t="s">
        <v>88</v>
      </c>
      <c r="I66" s="93">
        <f>V73</f>
        <v>7300</v>
      </c>
      <c r="J66" s="93"/>
      <c r="K66" s="107"/>
      <c r="L66" s="116" t="s">
        <v>88</v>
      </c>
      <c r="M66" s="123">
        <f>V74</f>
        <v>6240</v>
      </c>
      <c r="N66" s="123"/>
      <c r="O66" s="134"/>
      <c r="S66" s="147" t="s">
        <v>16</v>
      </c>
      <c r="T66" s="147"/>
    </row>
    <row r="67" spans="1:23" ht="32.25" customHeight="1">
      <c r="A67" s="7"/>
      <c r="B67" s="19"/>
      <c r="C67" s="31"/>
      <c r="D67" s="42">
        <f>V72</f>
        <v>19760</v>
      </c>
      <c r="E67" s="56"/>
      <c r="F67" s="56"/>
      <c r="G67" s="75"/>
      <c r="H67" s="82">
        <f>V73</f>
        <v>7300</v>
      </c>
      <c r="I67" s="82"/>
      <c r="J67" s="82"/>
      <c r="K67" s="82"/>
      <c r="L67" s="114">
        <f>IF(L65,V74,0)</f>
        <v>0</v>
      </c>
      <c r="M67" s="114"/>
      <c r="N67" s="114"/>
      <c r="O67" s="114"/>
      <c r="S67" s="148">
        <f>SUMIF(D53:D59,"*40歳～64歳*",M53:O59)</f>
        <v>0</v>
      </c>
      <c r="T67" s="158"/>
    </row>
    <row r="68" spans="1:23" ht="20.25" customHeight="1">
      <c r="A68" s="8" t="s">
        <v>20</v>
      </c>
      <c r="B68" s="20"/>
      <c r="C68" s="32"/>
      <c r="D68" s="44" t="s">
        <v>60</v>
      </c>
      <c r="E68" s="55" t="s">
        <v>59</v>
      </c>
      <c r="F68" s="68">
        <f>IF(計算!F60&gt;0,計算!F60,"")</f>
        <v>7</v>
      </c>
      <c r="G68" s="74" t="s">
        <v>56</v>
      </c>
      <c r="H68" s="85" t="s">
        <v>60</v>
      </c>
      <c r="I68" s="92" t="s">
        <v>59</v>
      </c>
      <c r="J68" s="99">
        <f>F68</f>
        <v>7</v>
      </c>
      <c r="K68" s="106" t="s">
        <v>56</v>
      </c>
      <c r="L68" s="117" t="s">
        <v>60</v>
      </c>
      <c r="M68" s="122" t="s">
        <v>59</v>
      </c>
      <c r="N68" s="128">
        <f>F68</f>
        <v>7</v>
      </c>
      <c r="O68" s="133" t="s">
        <v>56</v>
      </c>
      <c r="S68" s="1"/>
    </row>
    <row r="69" spans="1:23" ht="32.25" customHeight="1">
      <c r="A69" s="9"/>
      <c r="B69" s="21"/>
      <c r="C69" s="33"/>
      <c r="D69" s="45">
        <f>IF(F68="",0,(D65+D67)*F68/-10)</f>
        <v>-13832</v>
      </c>
      <c r="E69" s="45"/>
      <c r="F69" s="45"/>
      <c r="G69" s="45"/>
      <c r="H69" s="86">
        <f>IF(J68="",0,(H65+H67)*J68/-10)</f>
        <v>-5110</v>
      </c>
      <c r="I69" s="86"/>
      <c r="J69" s="86"/>
      <c r="K69" s="86"/>
      <c r="L69" s="118">
        <f>IF(N68="",0,(L65+L67)*N68/-10)</f>
        <v>0</v>
      </c>
      <c r="M69" s="118"/>
      <c r="N69" s="118"/>
      <c r="O69" s="118"/>
      <c r="S69" s="149" t="s">
        <v>68</v>
      </c>
      <c r="T69" s="159"/>
      <c r="U69" s="167">
        <f>ROUNDDOWN(SUM(D71:O71),0)</f>
        <v>8110</v>
      </c>
    </row>
    <row r="70" spans="1:23" ht="20.25" customHeight="1">
      <c r="A70" s="6" t="s">
        <v>13</v>
      </c>
      <c r="B70" s="18"/>
      <c r="C70" s="30"/>
      <c r="D70" s="46" t="s">
        <v>89</v>
      </c>
      <c r="E70" s="58"/>
      <c r="F70" s="69" t="str">
        <f>ROUND(W72,4)/10000&amp;"万円"</f>
        <v>66万円</v>
      </c>
      <c r="G70" s="77" t="s">
        <v>32</v>
      </c>
      <c r="H70" s="87" t="s">
        <v>90</v>
      </c>
      <c r="I70" s="94"/>
      <c r="J70" s="100" t="str">
        <f>ROUND(W73,4)/10000&amp;"万円"</f>
        <v>26万円</v>
      </c>
      <c r="K70" s="108" t="s">
        <v>91</v>
      </c>
      <c r="L70" s="119" t="s">
        <v>90</v>
      </c>
      <c r="M70" s="124"/>
      <c r="N70" s="129" t="str">
        <f>ROUND(W74,4)/10000&amp;"万円"</f>
        <v>17万円</v>
      </c>
      <c r="O70" s="135" t="s">
        <v>91</v>
      </c>
    </row>
    <row r="71" spans="1:23" ht="32.25" customHeight="1">
      <c r="A71" s="7"/>
      <c r="B71" s="19"/>
      <c r="C71" s="31"/>
      <c r="D71" s="47">
        <f>+IF((D63+D65+D67+D69)&gt;W72,W72,ROUNDDOWN((D63+D65+D67+D69),-1))</f>
        <v>5920</v>
      </c>
      <c r="E71" s="47"/>
      <c r="F71" s="47"/>
      <c r="G71" s="47"/>
      <c r="H71" s="82">
        <f>+IF(H63+H65+H67+H69&gt;W73,W73,ROUNDDOWN((H63+H65+H67+H69),-1))</f>
        <v>2190</v>
      </c>
      <c r="I71" s="82"/>
      <c r="J71" s="82"/>
      <c r="K71" s="82"/>
      <c r="L71" s="114">
        <f>+IF(L63+L65+L67+L69&gt;W74,W74,ROUNDDOWN((L63+L65+L67+L69),-1))</f>
        <v>0</v>
      </c>
      <c r="M71" s="114"/>
      <c r="N71" s="114"/>
      <c r="O71" s="114"/>
      <c r="S71" s="150"/>
      <c r="T71" s="160" t="s">
        <v>38</v>
      </c>
      <c r="U71" s="160" t="s">
        <v>35</v>
      </c>
      <c r="V71" s="160" t="s">
        <v>52</v>
      </c>
      <c r="W71" s="177" t="s">
        <v>67</v>
      </c>
    </row>
    <row r="72" spans="1:23" ht="42.75" customHeight="1">
      <c r="N72" s="130"/>
      <c r="S72" s="151" t="s">
        <v>0</v>
      </c>
      <c r="T72" s="161">
        <v>7.8399999999999997e-002</v>
      </c>
      <c r="U72" s="168">
        <v>31540</v>
      </c>
      <c r="V72" s="168">
        <v>19760</v>
      </c>
      <c r="W72" s="178">
        <v>660000</v>
      </c>
    </row>
    <row r="73" spans="1:23" ht="44.25" customHeight="1">
      <c r="B73" s="22" t="s">
        <v>24</v>
      </c>
      <c r="C73" s="34"/>
      <c r="D73" s="48"/>
      <c r="E73" s="59" t="s">
        <v>46</v>
      </c>
      <c r="F73" s="70">
        <f>ROUNDDOWN(SUM(D71:O71),-1)</f>
        <v>8110</v>
      </c>
      <c r="G73" s="78"/>
      <c r="H73" s="88"/>
      <c r="I73" s="95" t="s">
        <v>65</v>
      </c>
      <c r="J73" s="101" t="s">
        <v>69</v>
      </c>
      <c r="K73" s="2"/>
      <c r="L73" s="2"/>
      <c r="S73" s="151" t="s">
        <v>66</v>
      </c>
      <c r="T73" s="161">
        <v>2.81e-002</v>
      </c>
      <c r="U73" s="168">
        <v>11540</v>
      </c>
      <c r="V73" s="168">
        <v>7300</v>
      </c>
      <c r="W73" s="178">
        <v>260000</v>
      </c>
    </row>
    <row r="74" spans="1:23" ht="44.25" customHeight="1">
      <c r="B74" s="23" t="s">
        <v>64</v>
      </c>
      <c r="C74" s="35"/>
      <c r="D74" s="49"/>
      <c r="E74" s="60" t="s">
        <v>46</v>
      </c>
      <c r="F74" s="71">
        <f>ROUNDDOWN(F73/12,0)</f>
        <v>675</v>
      </c>
      <c r="G74" s="79"/>
      <c r="H74" s="89"/>
      <c r="I74" s="96" t="s">
        <v>65</v>
      </c>
      <c r="J74" s="102" t="s">
        <v>75</v>
      </c>
      <c r="K74" s="109"/>
      <c r="L74" s="109"/>
      <c r="R74" s="142"/>
      <c r="S74" s="152" t="s">
        <v>44</v>
      </c>
      <c r="T74" s="162">
        <v>2.76e-002</v>
      </c>
      <c r="U74" s="169">
        <v>12660</v>
      </c>
      <c r="V74" s="169">
        <v>6240</v>
      </c>
      <c r="W74" s="179">
        <v>170000</v>
      </c>
    </row>
    <row r="75" spans="1:23" ht="30.75" customHeight="1">
      <c r="S75" s="150" t="s">
        <v>114</v>
      </c>
      <c r="T75" s="160"/>
      <c r="U75" s="160"/>
      <c r="V75" s="173">
        <v>1</v>
      </c>
      <c r="W75" s="180"/>
    </row>
    <row r="76" spans="1:23" ht="30.75" customHeight="1">
      <c r="S76" s="151" t="s">
        <v>115</v>
      </c>
      <c r="T76" s="139"/>
      <c r="U76" s="139"/>
      <c r="V76" s="174">
        <v>305000</v>
      </c>
      <c r="W76" s="181"/>
    </row>
    <row r="77" spans="1:23" ht="30.75" customHeight="1">
      <c r="S77" s="153" t="s">
        <v>116</v>
      </c>
      <c r="T77" s="163"/>
      <c r="U77" s="163"/>
      <c r="V77" s="175">
        <v>560000</v>
      </c>
      <c r="W77" s="182"/>
    </row>
  </sheetData>
  <sheetProtection sheet="1" objects="1" scenarios="1" selectLockedCells="1"/>
  <mergeCells count="95">
    <mergeCell ref="F18:O18"/>
    <mergeCell ref="F19:O19"/>
    <mergeCell ref="F23:O23"/>
    <mergeCell ref="S40:Y40"/>
    <mergeCell ref="R51:S51"/>
    <mergeCell ref="V51:X51"/>
    <mergeCell ref="E52:G52"/>
    <mergeCell ref="I52:K52"/>
    <mergeCell ref="M52:O52"/>
    <mergeCell ref="E53:G53"/>
    <mergeCell ref="I53:K53"/>
    <mergeCell ref="M53:O53"/>
    <mergeCell ref="Y53:Z53"/>
    <mergeCell ref="E54:G54"/>
    <mergeCell ref="I54:K54"/>
    <mergeCell ref="M54:O54"/>
    <mergeCell ref="Y54:Z54"/>
    <mergeCell ref="E55:G55"/>
    <mergeCell ref="I55:K55"/>
    <mergeCell ref="M55:O55"/>
    <mergeCell ref="Y55:Z55"/>
    <mergeCell ref="E56:G56"/>
    <mergeCell ref="I56:K56"/>
    <mergeCell ref="M56:O56"/>
    <mergeCell ref="Y56:Z56"/>
    <mergeCell ref="E57:G57"/>
    <mergeCell ref="I57:K57"/>
    <mergeCell ref="M57:O57"/>
    <mergeCell ref="Y57:Z57"/>
    <mergeCell ref="E58:G58"/>
    <mergeCell ref="I58:K58"/>
    <mergeCell ref="M58:O58"/>
    <mergeCell ref="Y58:Z58"/>
    <mergeCell ref="E59:G59"/>
    <mergeCell ref="I59:K59"/>
    <mergeCell ref="M59:O59"/>
    <mergeCell ref="Y59:Z59"/>
    <mergeCell ref="D61:G61"/>
    <mergeCell ref="H61:K61"/>
    <mergeCell ref="L61:O61"/>
    <mergeCell ref="S62:T62"/>
    <mergeCell ref="D63:G63"/>
    <mergeCell ref="H63:K63"/>
    <mergeCell ref="L63:O63"/>
    <mergeCell ref="S63:T63"/>
    <mergeCell ref="S64:T64"/>
    <mergeCell ref="D65:G65"/>
    <mergeCell ref="H65:K65"/>
    <mergeCell ref="L65:O65"/>
    <mergeCell ref="S65:T65"/>
    <mergeCell ref="E66:G66"/>
    <mergeCell ref="I66:K66"/>
    <mergeCell ref="M66:O66"/>
    <mergeCell ref="S66:T66"/>
    <mergeCell ref="D67:G67"/>
    <mergeCell ref="H67:K67"/>
    <mergeCell ref="L67:O67"/>
    <mergeCell ref="S67:T67"/>
    <mergeCell ref="D69:G69"/>
    <mergeCell ref="H69:K69"/>
    <mergeCell ref="L69:O69"/>
    <mergeCell ref="S69:T69"/>
    <mergeCell ref="D70:E70"/>
    <mergeCell ref="H70:I70"/>
    <mergeCell ref="L70:M70"/>
    <mergeCell ref="D71:G71"/>
    <mergeCell ref="H71:K71"/>
    <mergeCell ref="L71:O71"/>
    <mergeCell ref="B73:D73"/>
    <mergeCell ref="F73:H73"/>
    <mergeCell ref="J73:L73"/>
    <mergeCell ref="B74:D74"/>
    <mergeCell ref="F74:H74"/>
    <mergeCell ref="J74:L74"/>
    <mergeCell ref="S75:U75"/>
    <mergeCell ref="S76:U76"/>
    <mergeCell ref="S77:U77"/>
    <mergeCell ref="B9:D10"/>
    <mergeCell ref="F9:O10"/>
    <mergeCell ref="B12:D13"/>
    <mergeCell ref="F12:O13"/>
    <mergeCell ref="B15:D16"/>
    <mergeCell ref="F15:O16"/>
    <mergeCell ref="B18:D23"/>
    <mergeCell ref="F20:O22"/>
    <mergeCell ref="B25:D26"/>
    <mergeCell ref="F25:O26"/>
    <mergeCell ref="T51:T52"/>
    <mergeCell ref="U51:U52"/>
    <mergeCell ref="Y51:Z52"/>
    <mergeCell ref="A62:C63"/>
    <mergeCell ref="A64:C65"/>
    <mergeCell ref="A66:C67"/>
    <mergeCell ref="A68:C69"/>
    <mergeCell ref="A70:C71"/>
  </mergeCells>
  <phoneticPr fontId="2"/>
  <pageMargins left="0.43307086614173229" right="0.23622047244094491" top="0.74803149606299213" bottom="0.35433070866141736" header="0.31496062992125984" footer="0.31496062992125984"/>
  <pageSetup paperSize="9" scale="71" fitToWidth="1" fitToHeight="0" orientation="portrait" usePrinterDefaults="1" r:id="rId1"/>
  <headerFooter>
    <oddHeader>&amp;L試算日：&amp;D</oddHeader>
  </headerFooter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62" r:id="rId4" name="チェック 14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52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5" name="チェック 15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53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6" name="チェック 16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54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7" name="チェック 17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55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8" name="チェック 18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56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9" name="チェック 19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57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0" name="チェック 20">
              <controlPr locked="0" defaultSize="0" autoFill="0" autoLine="0" autoPict="0">
                <anchor moveWithCells="1">
                  <from xmlns:xdr="http://schemas.openxmlformats.org/drawingml/2006/spreadsheetDrawing">
                    <xdr:col>15</xdr:col>
                    <xdr:colOff>180975</xdr:colOff>
                    <xdr:row>58</xdr:row>
                    <xdr:rowOff>0</xdr:rowOff>
                  </from>
                  <to xmlns:xdr="http://schemas.openxmlformats.org/drawingml/2006/spreadsheetDrawing">
                    <xdr:col>16</xdr:col>
                    <xdr:colOff>0</xdr:colOff>
                    <xdr:row>58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DropDown="0" showInputMessage="1" showErrorMessage="1">
          <x14:formula1>
            <xm:f>計算!$A$2:$A$3</xm:f>
          </x14:formula1>
          <xm:sqref>B53</xm:sqref>
        </x14:dataValidation>
        <x14:dataValidation type="list" allowBlank="1" showDropDown="0" showInputMessage="1" showErrorMessage="1">
          <x14:formula1>
            <xm:f>計算!$B$1:$B$6</xm:f>
          </x14:formula1>
          <xm:sqref>B53</xm:sqref>
        </x14:dataValidation>
        <x14:dataValidation type="list" allowBlank="1" showDropDown="0" showInputMessage="1" showErrorMessage="1">
          <x14:formula1>
            <xm:f>計算!$B$2:$B$6</xm:f>
          </x14:formula1>
          <xm:sqref>D53</xm:sqref>
        </x14:dataValidation>
        <x14:dataValidation type="list" allowBlank="1" showDropDown="0" showInputMessage="1" showErrorMessage="1">
          <x14:formula1>
            <xm:f>計算!$B$3:$B$6</xm:f>
          </x14:formula1>
          <xm:sqref>D54:D59</xm:sqref>
        </x14:dataValidation>
        <x14:dataValidation type="list" allowBlank="1" showDropDown="0" showInputMessage="1" showErrorMessage="1">
          <x14:formula1>
            <xm:f>計算!$C$3:$C$4</xm:f>
          </x14:formula1>
          <xm:sqref>C53:C59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2:O61"/>
  <sheetViews>
    <sheetView zoomScale="85" zoomScaleNormal="85" workbookViewId="0">
      <selection activeCell="E57" sqref="E57"/>
    </sheetView>
  </sheetViews>
  <sheetFormatPr defaultRowHeight="18.75"/>
  <cols>
    <col min="1" max="1" width="11.125" customWidth="1"/>
    <col min="2" max="2" width="10.875" customWidth="1"/>
    <col min="3" max="3" width="11.375" customWidth="1"/>
    <col min="4" max="4" width="10.625" customWidth="1"/>
    <col min="5" max="13" width="10" customWidth="1"/>
    <col min="15" max="15" width="9.375" bestFit="1" customWidth="1"/>
  </cols>
  <sheetData>
    <row r="2" spans="1:14">
      <c r="A2" s="187" t="s">
        <v>96</v>
      </c>
      <c r="B2" s="201" t="s">
        <v>31</v>
      </c>
    </row>
    <row r="3" spans="1:14">
      <c r="A3" s="188" t="s">
        <v>97</v>
      </c>
      <c r="B3" s="202" t="s">
        <v>14</v>
      </c>
      <c r="C3" s="171" t="s">
        <v>26</v>
      </c>
    </row>
    <row r="4" spans="1:14">
      <c r="B4" s="202" t="s">
        <v>12</v>
      </c>
      <c r="C4" s="171" t="s">
        <v>28</v>
      </c>
    </row>
    <row r="5" spans="1:14">
      <c r="B5" s="202" t="s">
        <v>95</v>
      </c>
      <c r="C5" s="209"/>
    </row>
    <row r="6" spans="1:14">
      <c r="B6" s="203" t="s">
        <v>94</v>
      </c>
      <c r="C6" s="50"/>
    </row>
    <row r="7" spans="1:14" ht="19.5">
      <c r="C7" s="205"/>
    </row>
    <row r="8" spans="1:14" ht="19.5">
      <c r="A8" s="189" t="s">
        <v>21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31"/>
    </row>
    <row r="9" spans="1:14">
      <c r="A9" s="190"/>
      <c r="L9" s="142"/>
    </row>
    <row r="10" spans="1:14">
      <c r="A10" s="190" t="s">
        <v>9</v>
      </c>
      <c r="E10" s="139" t="s">
        <v>33</v>
      </c>
      <c r="F10" s="139">
        <v>1</v>
      </c>
      <c r="G10" s="139">
        <v>2</v>
      </c>
      <c r="H10" s="139">
        <v>3</v>
      </c>
      <c r="I10" s="139">
        <v>4</v>
      </c>
      <c r="J10" s="139">
        <v>5</v>
      </c>
      <c r="K10" s="139">
        <v>6</v>
      </c>
      <c r="L10" s="142"/>
    </row>
    <row r="11" spans="1:14">
      <c r="A11" s="190"/>
      <c r="D11" s="216" t="s">
        <v>34</v>
      </c>
      <c r="E11" s="165" t="str">
        <f>IF('R7試算シート'!E53="","",'R7試算シート'!E53)</f>
        <v/>
      </c>
      <c r="F11" s="165" t="str">
        <f>IF('R7試算シート'!E54="","",'R7試算シート'!E54)</f>
        <v/>
      </c>
      <c r="G11" s="165" t="str">
        <f>IF('R7試算シート'!E55="","",'R7試算シート'!E55)</f>
        <v/>
      </c>
      <c r="H11" s="165" t="str">
        <f>IF('R7試算シート'!E56="","",'R7試算シート'!E56)</f>
        <v/>
      </c>
      <c r="I11" s="165" t="str">
        <f>IF('R7試算シート'!E57="","",'R7試算シート'!E57)</f>
        <v/>
      </c>
      <c r="J11" s="165" t="str">
        <f>IF('R7試算シート'!E58="","",'R7試算シート'!E58)</f>
        <v/>
      </c>
      <c r="K11" s="165" t="str">
        <f>IF('R7試算シート'!E59="","",'R7試算シート'!E59)</f>
        <v/>
      </c>
      <c r="L11" s="142"/>
    </row>
    <row r="12" spans="1:14">
      <c r="A12" s="192">
        <v>1</v>
      </c>
      <c r="B12" s="171" t="s">
        <v>22</v>
      </c>
      <c r="C12" s="210">
        <v>550999</v>
      </c>
      <c r="E12" s="141">
        <f t="shared" ref="E12:K12" si="0">IF(E11&lt;=$C$12,0,0)</f>
        <v>0</v>
      </c>
      <c r="F12" s="141">
        <f t="shared" si="0"/>
        <v>0</v>
      </c>
      <c r="G12" s="141">
        <f t="shared" si="0"/>
        <v>0</v>
      </c>
      <c r="H12" s="141">
        <f t="shared" si="0"/>
        <v>0</v>
      </c>
      <c r="I12" s="141">
        <f t="shared" si="0"/>
        <v>0</v>
      </c>
      <c r="J12" s="141">
        <f t="shared" si="0"/>
        <v>0</v>
      </c>
      <c r="K12" s="141">
        <f t="shared" si="0"/>
        <v>0</v>
      </c>
      <c r="L12" s="142"/>
    </row>
    <row r="13" spans="1:14">
      <c r="A13" s="191">
        <v>551000</v>
      </c>
      <c r="B13" s="171" t="s">
        <v>22</v>
      </c>
      <c r="C13" s="210">
        <v>1618999</v>
      </c>
      <c r="E13" s="141">
        <f t="shared" ref="E13:K13" si="1">IF(AND(E11&gt;=$A$13,E11&lt;=$C$13),E11-550000,0)</f>
        <v>0</v>
      </c>
      <c r="F13" s="141">
        <f t="shared" si="1"/>
        <v>0</v>
      </c>
      <c r="G13" s="141">
        <f t="shared" si="1"/>
        <v>0</v>
      </c>
      <c r="H13" s="141">
        <f t="shared" si="1"/>
        <v>0</v>
      </c>
      <c r="I13" s="141">
        <f t="shared" si="1"/>
        <v>0</v>
      </c>
      <c r="J13" s="141">
        <f t="shared" si="1"/>
        <v>0</v>
      </c>
      <c r="K13" s="141">
        <f t="shared" si="1"/>
        <v>0</v>
      </c>
      <c r="L13" s="142"/>
    </row>
    <row r="14" spans="1:14">
      <c r="A14" s="191">
        <v>1619000</v>
      </c>
      <c r="B14" s="171" t="s">
        <v>22</v>
      </c>
      <c r="C14" s="210">
        <v>1619999</v>
      </c>
      <c r="E14" s="141">
        <f t="shared" ref="E14:K14" si="2">IF(AND(E11&gt;=$A$14,E11&lt;=$C$14),1069000,0)</f>
        <v>0</v>
      </c>
      <c r="F14" s="141">
        <f t="shared" si="2"/>
        <v>0</v>
      </c>
      <c r="G14" s="141">
        <f t="shared" si="2"/>
        <v>0</v>
      </c>
      <c r="H14" s="141">
        <f t="shared" si="2"/>
        <v>0</v>
      </c>
      <c r="I14" s="141">
        <f t="shared" si="2"/>
        <v>0</v>
      </c>
      <c r="J14" s="141">
        <f t="shared" si="2"/>
        <v>0</v>
      </c>
      <c r="K14" s="141">
        <f t="shared" si="2"/>
        <v>0</v>
      </c>
      <c r="L14" s="142"/>
    </row>
    <row r="15" spans="1:14" ht="18.75" customHeight="1">
      <c r="A15" s="191">
        <v>1620000</v>
      </c>
      <c r="B15" s="171" t="s">
        <v>22</v>
      </c>
      <c r="C15" s="210">
        <v>1621999</v>
      </c>
      <c r="E15" s="141">
        <f t="shared" ref="E15:K15" si="3">IF(AND(E11&gt;=$A$15,E11&lt;=$C$15),1070000,0)</f>
        <v>0</v>
      </c>
      <c r="F15" s="141">
        <f t="shared" si="3"/>
        <v>0</v>
      </c>
      <c r="G15" s="141">
        <f t="shared" si="3"/>
        <v>0</v>
      </c>
      <c r="H15" s="141">
        <f t="shared" si="3"/>
        <v>0</v>
      </c>
      <c r="I15" s="141">
        <f t="shared" si="3"/>
        <v>0</v>
      </c>
      <c r="J15" s="141">
        <f t="shared" si="3"/>
        <v>0</v>
      </c>
      <c r="K15" s="141">
        <f t="shared" si="3"/>
        <v>0</v>
      </c>
      <c r="L15" s="142"/>
    </row>
    <row r="16" spans="1:14">
      <c r="A16" s="191">
        <v>1622000</v>
      </c>
      <c r="B16" s="171" t="s">
        <v>22</v>
      </c>
      <c r="C16" s="210">
        <v>1623999</v>
      </c>
      <c r="E16" s="141">
        <f t="shared" ref="E16:K16" si="4">IF(AND(E11&gt;=$A$16,E11&lt;=$C$16),1072000,0)</f>
        <v>0</v>
      </c>
      <c r="F16" s="141">
        <f t="shared" si="4"/>
        <v>0</v>
      </c>
      <c r="G16" s="141">
        <f t="shared" si="4"/>
        <v>0</v>
      </c>
      <c r="H16" s="141">
        <f t="shared" si="4"/>
        <v>0</v>
      </c>
      <c r="I16" s="141">
        <f t="shared" si="4"/>
        <v>0</v>
      </c>
      <c r="J16" s="141">
        <f t="shared" si="4"/>
        <v>0</v>
      </c>
      <c r="K16" s="141">
        <f t="shared" si="4"/>
        <v>0</v>
      </c>
      <c r="L16" s="142"/>
      <c r="N16" s="222"/>
    </row>
    <row r="17" spans="1:15" ht="18.75" customHeight="1">
      <c r="A17" s="191">
        <v>1624000</v>
      </c>
      <c r="B17" s="171" t="s">
        <v>22</v>
      </c>
      <c r="C17" s="210">
        <v>1627999</v>
      </c>
      <c r="E17" s="141">
        <f t="shared" ref="E17:K17" si="5">IF(AND(E11&gt;=$A$17,E11&lt;=$C$17),1074000,0)</f>
        <v>0</v>
      </c>
      <c r="F17" s="141">
        <f t="shared" si="5"/>
        <v>0</v>
      </c>
      <c r="G17" s="141">
        <f t="shared" si="5"/>
        <v>0</v>
      </c>
      <c r="H17" s="141">
        <f t="shared" si="5"/>
        <v>0</v>
      </c>
      <c r="I17" s="141">
        <f t="shared" si="5"/>
        <v>0</v>
      </c>
      <c r="J17" s="141">
        <f t="shared" si="5"/>
        <v>0</v>
      </c>
      <c r="K17" s="141">
        <f t="shared" si="5"/>
        <v>0</v>
      </c>
      <c r="L17" s="142"/>
    </row>
    <row r="18" spans="1:15" ht="20.25">
      <c r="A18" s="191">
        <v>1628000</v>
      </c>
      <c r="B18" s="171" t="s">
        <v>22</v>
      </c>
      <c r="C18" s="210">
        <v>1799999</v>
      </c>
      <c r="E18" s="141">
        <f t="shared" ref="E18:K18" si="6">IF(AND(E11&gt;=$A$18,E11&lt;=$C$18),ROUNDDOWN(E11/4,-3)*2.4+100000,0)</f>
        <v>0</v>
      </c>
      <c r="F18" s="141">
        <f t="shared" si="6"/>
        <v>0</v>
      </c>
      <c r="G18" s="141">
        <f t="shared" si="6"/>
        <v>0</v>
      </c>
      <c r="H18" s="141">
        <f t="shared" si="6"/>
        <v>0</v>
      </c>
      <c r="I18" s="141">
        <f t="shared" si="6"/>
        <v>0</v>
      </c>
      <c r="J18" s="141">
        <f t="shared" si="6"/>
        <v>0</v>
      </c>
      <c r="K18" s="141">
        <f t="shared" si="6"/>
        <v>0</v>
      </c>
      <c r="L18" s="142"/>
      <c r="N18" s="234"/>
    </row>
    <row r="19" spans="1:15">
      <c r="A19" s="191">
        <v>1800000</v>
      </c>
      <c r="B19" s="171" t="s">
        <v>22</v>
      </c>
      <c r="C19" s="210">
        <v>3599999</v>
      </c>
      <c r="E19" s="141">
        <f t="shared" ref="E19:K19" si="7">IF(AND(E11&gt;=$A$19,E11&lt;=$C$19),ROUNDDOWN(E11/4,-3)*2.8-80000,0)</f>
        <v>0</v>
      </c>
      <c r="F19" s="141">
        <f t="shared" si="7"/>
        <v>0</v>
      </c>
      <c r="G19" s="141">
        <f t="shared" si="7"/>
        <v>0</v>
      </c>
      <c r="H19" s="141">
        <f t="shared" si="7"/>
        <v>0</v>
      </c>
      <c r="I19" s="141">
        <f t="shared" si="7"/>
        <v>0</v>
      </c>
      <c r="J19" s="141">
        <f t="shared" si="7"/>
        <v>0</v>
      </c>
      <c r="K19" s="141">
        <f t="shared" si="7"/>
        <v>0</v>
      </c>
      <c r="L19" s="142"/>
    </row>
    <row r="20" spans="1:15">
      <c r="A20" s="191">
        <v>3600000</v>
      </c>
      <c r="B20" s="171" t="s">
        <v>22</v>
      </c>
      <c r="C20" s="210">
        <v>6599999</v>
      </c>
      <c r="E20" s="141">
        <f t="shared" ref="E20:K20" si="8">IF(AND(E11&gt;=$A$20,E11&lt;=$C$20),ROUNDDOWN(E11/4,-3)*3.2-440000,0)</f>
        <v>0</v>
      </c>
      <c r="F20" s="141">
        <f t="shared" si="8"/>
        <v>0</v>
      </c>
      <c r="G20" s="141">
        <f t="shared" si="8"/>
        <v>0</v>
      </c>
      <c r="H20" s="141">
        <f t="shared" si="8"/>
        <v>0</v>
      </c>
      <c r="I20" s="141">
        <f t="shared" si="8"/>
        <v>0</v>
      </c>
      <c r="J20" s="141">
        <f t="shared" si="8"/>
        <v>0</v>
      </c>
      <c r="K20" s="141">
        <f t="shared" si="8"/>
        <v>0</v>
      </c>
      <c r="L20" s="142"/>
    </row>
    <row r="21" spans="1:15">
      <c r="A21" s="191">
        <v>6600000</v>
      </c>
      <c r="B21" s="171" t="s">
        <v>22</v>
      </c>
      <c r="C21" s="210">
        <v>8499999</v>
      </c>
      <c r="E21" s="141">
        <f t="shared" ref="E21:K21" si="9">IF(AND(E11&gt;=$A$21,E11&lt;=$C$21),ROUNDDOWN(E11*0.9,0)-1100000,0)</f>
        <v>0</v>
      </c>
      <c r="F21" s="141">
        <f t="shared" si="9"/>
        <v>0</v>
      </c>
      <c r="G21" s="141">
        <f t="shared" si="9"/>
        <v>0</v>
      </c>
      <c r="H21" s="141">
        <f t="shared" si="9"/>
        <v>0</v>
      </c>
      <c r="I21" s="141">
        <f t="shared" si="9"/>
        <v>0</v>
      </c>
      <c r="J21" s="141">
        <f t="shared" si="9"/>
        <v>0</v>
      </c>
      <c r="K21" s="141">
        <f t="shared" si="9"/>
        <v>0</v>
      </c>
      <c r="L21" s="142"/>
    </row>
    <row r="22" spans="1:15">
      <c r="A22" s="191">
        <v>8500000</v>
      </c>
      <c r="B22" s="171" t="s">
        <v>22</v>
      </c>
      <c r="C22" s="171"/>
      <c r="E22" s="141">
        <f>IFERROR(IF($E$11&gt;=$A$22,$E$11-1950000,0),0)</f>
        <v>0</v>
      </c>
      <c r="F22" s="141">
        <f>IFERROR(IF($F$11&gt;=$A$22,$F$11-1950000,0),0)</f>
        <v>0</v>
      </c>
      <c r="G22" s="141">
        <f>IFERROR(IF($G$11&gt;=$A$22,$G$11-1950000,0),0)</f>
        <v>0</v>
      </c>
      <c r="H22" s="141">
        <f>IFERROR(IF($H$11&gt;=$A$22,$H$11-1950000,0),0)</f>
        <v>0</v>
      </c>
      <c r="I22" s="141">
        <f>IFERROR(IF($I$11&gt;=$A$22,$I$11-1950000,0),0)</f>
        <v>0</v>
      </c>
      <c r="J22" s="141">
        <f>IFERROR(IF($J$11&gt;=$A$22,$J$11-1950000,0),0)</f>
        <v>0</v>
      </c>
      <c r="K22" s="141">
        <f>IFERROR(IF($K$11&gt;=$A$22,$K$11-1950000,0),0)</f>
        <v>0</v>
      </c>
      <c r="L22" s="142"/>
    </row>
    <row r="23" spans="1:15">
      <c r="A23" s="190"/>
      <c r="D23" s="216" t="s">
        <v>38</v>
      </c>
      <c r="E23" s="165">
        <f t="shared" ref="E23:K23" si="10">SUM(E12:E22)</f>
        <v>0</v>
      </c>
      <c r="F23" s="165">
        <f t="shared" si="10"/>
        <v>0</v>
      </c>
      <c r="G23" s="165">
        <f t="shared" si="10"/>
        <v>0</v>
      </c>
      <c r="H23" s="165">
        <f t="shared" si="10"/>
        <v>0</v>
      </c>
      <c r="I23" s="165">
        <f t="shared" si="10"/>
        <v>0</v>
      </c>
      <c r="J23" s="165">
        <f t="shared" si="10"/>
        <v>0</v>
      </c>
      <c r="K23" s="165">
        <f t="shared" si="10"/>
        <v>0</v>
      </c>
      <c r="L23" s="142"/>
      <c r="O23" s="235"/>
    </row>
    <row r="24" spans="1:15">
      <c r="A24" s="190"/>
      <c r="D24" s="216"/>
      <c r="E24" s="219" t="s">
        <v>82</v>
      </c>
      <c r="F24" s="219" t="s">
        <v>82</v>
      </c>
      <c r="G24" s="219" t="s">
        <v>82</v>
      </c>
      <c r="H24" s="219" t="s">
        <v>82</v>
      </c>
      <c r="I24" s="219" t="s">
        <v>82</v>
      </c>
      <c r="J24" s="219" t="s">
        <v>82</v>
      </c>
      <c r="K24" s="219" t="s">
        <v>82</v>
      </c>
      <c r="L24" s="142"/>
      <c r="O24" s="235"/>
    </row>
    <row r="25" spans="1:15">
      <c r="A25" s="190"/>
      <c r="D25" s="216" t="s">
        <v>107</v>
      </c>
      <c r="E25" s="220">
        <f>IF('R7試算シート'!S53=TRUE,計算!E23*0.3,計算!E23)</f>
        <v>0</v>
      </c>
      <c r="F25" s="220">
        <f>IF('R7試算シート'!S54=TRUE,計算!F23*0.3,計算!F23)</f>
        <v>0</v>
      </c>
      <c r="G25" s="220">
        <f>IF('R7試算シート'!S55=TRUE,計算!G23*0.3,計算!G23)</f>
        <v>0</v>
      </c>
      <c r="H25" s="220">
        <f>IF('R7試算シート'!S56=TRUE,計算!H23*0.3,計算!H23)</f>
        <v>0</v>
      </c>
      <c r="I25" s="220">
        <f>IF('R7試算シート'!S57=TRUE,計算!I23*0.3,計算!I23)</f>
        <v>0</v>
      </c>
      <c r="J25" s="220">
        <f>IF('R7試算シート'!S58=TRUE,計算!J23*0.3,計算!J23)</f>
        <v>0</v>
      </c>
      <c r="K25" s="220">
        <f>IF('R7試算シート'!S59=TRUE,計算!K23*0.3,計算!K23)</f>
        <v>0</v>
      </c>
      <c r="L25" s="142"/>
      <c r="O25" s="235"/>
    </row>
    <row r="26" spans="1:15">
      <c r="A26" s="190"/>
      <c r="D26" s="216"/>
      <c r="E26" s="219" t="s">
        <v>82</v>
      </c>
      <c r="F26" s="219" t="s">
        <v>82</v>
      </c>
      <c r="G26" s="219" t="s">
        <v>82</v>
      </c>
      <c r="H26" s="219" t="s">
        <v>82</v>
      </c>
      <c r="I26" s="219" t="s">
        <v>82</v>
      </c>
      <c r="J26" s="219" t="s">
        <v>82</v>
      </c>
      <c r="K26" s="219" t="s">
        <v>82</v>
      </c>
      <c r="L26" s="142"/>
      <c r="O26" s="235"/>
    </row>
    <row r="27" spans="1:15">
      <c r="A27" s="190"/>
      <c r="D27" s="216" t="s">
        <v>108</v>
      </c>
      <c r="E27" s="184">
        <f t="shared" ref="E27:K27" si="11">MIN(E25,100000)+MIN(G48,100000)-100000</f>
        <v>-100000</v>
      </c>
      <c r="F27" s="184">
        <f t="shared" si="11"/>
        <v>-100000</v>
      </c>
      <c r="G27" s="184">
        <f t="shared" si="11"/>
        <v>-100000</v>
      </c>
      <c r="H27" s="184">
        <f t="shared" si="11"/>
        <v>-100000</v>
      </c>
      <c r="I27" s="184">
        <f t="shared" si="11"/>
        <v>-100000</v>
      </c>
      <c r="J27" s="184">
        <f t="shared" si="11"/>
        <v>-100000</v>
      </c>
      <c r="K27" s="184">
        <f t="shared" si="11"/>
        <v>-100000</v>
      </c>
      <c r="L27" s="142"/>
      <c r="O27" s="235"/>
    </row>
    <row r="28" spans="1:15">
      <c r="A28" s="190"/>
      <c r="D28" s="216"/>
      <c r="E28" s="219" t="s">
        <v>82</v>
      </c>
      <c r="F28" s="219" t="s">
        <v>82</v>
      </c>
      <c r="G28" s="219" t="s">
        <v>82</v>
      </c>
      <c r="H28" s="219" t="s">
        <v>82</v>
      </c>
      <c r="I28" s="219" t="s">
        <v>82</v>
      </c>
      <c r="J28" s="219" t="s">
        <v>82</v>
      </c>
      <c r="K28" s="219" t="s">
        <v>82</v>
      </c>
      <c r="L28" s="142"/>
      <c r="O28" s="235"/>
    </row>
    <row r="29" spans="1:15">
      <c r="A29" s="190"/>
      <c r="D29" s="216" t="s">
        <v>109</v>
      </c>
      <c r="E29" s="221">
        <f t="shared" ref="E29:K29" si="12">IF(AND(E25+G48&gt;=100000,E25&gt;0,G48&gt;0),E25-E27,E25)</f>
        <v>0</v>
      </c>
      <c r="F29" s="221">
        <f t="shared" si="12"/>
        <v>0</v>
      </c>
      <c r="G29" s="221">
        <f t="shared" si="12"/>
        <v>0</v>
      </c>
      <c r="H29" s="221">
        <f t="shared" si="12"/>
        <v>0</v>
      </c>
      <c r="I29" s="221">
        <f t="shared" si="12"/>
        <v>0</v>
      </c>
      <c r="J29" s="221">
        <f t="shared" si="12"/>
        <v>0</v>
      </c>
      <c r="K29" s="221">
        <f t="shared" si="12"/>
        <v>0</v>
      </c>
      <c r="L29" s="142"/>
      <c r="O29" s="235"/>
    </row>
    <row r="30" spans="1:15">
      <c r="A30" s="190"/>
      <c r="D30" s="216"/>
      <c r="E30" s="222"/>
      <c r="F30" s="222"/>
      <c r="G30" s="222"/>
      <c r="H30" s="222"/>
      <c r="I30" s="222"/>
      <c r="J30" s="222"/>
      <c r="K30" s="222"/>
      <c r="L30" s="142"/>
      <c r="O30" s="235"/>
    </row>
    <row r="31" spans="1:15" ht="19.5">
      <c r="A31" s="193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33"/>
    </row>
    <row r="32" spans="1:15" ht="19.5"/>
    <row r="33" spans="1:14" ht="19.5">
      <c r="A33" s="189" t="s">
        <v>42</v>
      </c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31"/>
    </row>
    <row r="34" spans="1:14">
      <c r="A34" s="190"/>
      <c r="G34" s="139" t="s">
        <v>33</v>
      </c>
      <c r="H34" s="139">
        <v>1</v>
      </c>
      <c r="I34" s="139">
        <v>2</v>
      </c>
      <c r="J34" s="139">
        <v>3</v>
      </c>
      <c r="K34" s="139">
        <v>4</v>
      </c>
      <c r="L34" s="139">
        <v>5</v>
      </c>
      <c r="M34" s="139">
        <v>6</v>
      </c>
      <c r="N34" s="142"/>
    </row>
    <row r="35" spans="1:14">
      <c r="A35" s="190"/>
      <c r="F35" s="170" t="s">
        <v>34</v>
      </c>
      <c r="G35" s="220">
        <f>'R7試算シート'!H53</f>
        <v>0</v>
      </c>
      <c r="H35" s="220">
        <f>'R7試算シート'!H54</f>
        <v>0</v>
      </c>
      <c r="I35" s="220">
        <f>'R7試算シート'!H55</f>
        <v>0</v>
      </c>
      <c r="J35" s="220">
        <f>'R7試算シート'!H56</f>
        <v>0</v>
      </c>
      <c r="K35" s="220">
        <f>'R7試算シート'!H57</f>
        <v>0</v>
      </c>
      <c r="L35" s="220">
        <f>'R7試算シート'!H58</f>
        <v>0</v>
      </c>
      <c r="M35" s="220">
        <f>'R7試算シート'!H59</f>
        <v>0</v>
      </c>
      <c r="N35" s="142"/>
    </row>
    <row r="36" spans="1:14">
      <c r="A36" s="192" t="s">
        <v>23</v>
      </c>
      <c r="B36" s="149" t="s">
        <v>5</v>
      </c>
      <c r="C36" s="159"/>
      <c r="D36" s="217"/>
      <c r="F36" s="170" t="s">
        <v>40</v>
      </c>
      <c r="G36" s="220">
        <f>'R7試算シート'!$C53</f>
        <v>0</v>
      </c>
      <c r="H36" s="220">
        <f>'R7試算シート'!$C54</f>
        <v>0</v>
      </c>
      <c r="I36" s="220">
        <f>'R7試算シート'!$C55</f>
        <v>0</v>
      </c>
      <c r="J36" s="220">
        <f>'R7試算シート'!$C56</f>
        <v>0</v>
      </c>
      <c r="K36" s="220">
        <f>'R7試算シート'!$C57</f>
        <v>0</v>
      </c>
      <c r="L36" s="220">
        <f>'R7試算シート'!$C58</f>
        <v>0</v>
      </c>
      <c r="M36" s="220">
        <f>'R7試算シート'!$C59</f>
        <v>0</v>
      </c>
      <c r="N36" s="142"/>
    </row>
    <row r="37" spans="1:14">
      <c r="A37" s="152" t="s">
        <v>26</v>
      </c>
      <c r="B37" s="206">
        <v>1</v>
      </c>
      <c r="C37" s="211" t="s">
        <v>22</v>
      </c>
      <c r="D37" s="218">
        <v>3300000</v>
      </c>
      <c r="F37" s="225" t="s">
        <v>26</v>
      </c>
      <c r="G37" s="184">
        <f t="shared" ref="G37:M37" si="13">IF(AND(G$36=$C$3,G$35&gt;=$B$37,G$35&lt;=$D$37),1100000,0)</f>
        <v>0</v>
      </c>
      <c r="H37" s="184">
        <f t="shared" si="13"/>
        <v>0</v>
      </c>
      <c r="I37" s="184">
        <f t="shared" si="13"/>
        <v>0</v>
      </c>
      <c r="J37" s="184">
        <f t="shared" si="13"/>
        <v>0</v>
      </c>
      <c r="K37" s="184">
        <f t="shared" si="13"/>
        <v>0</v>
      </c>
      <c r="L37" s="184">
        <f t="shared" si="13"/>
        <v>0</v>
      </c>
      <c r="M37" s="184">
        <f t="shared" si="13"/>
        <v>0</v>
      </c>
      <c r="N37" s="142"/>
    </row>
    <row r="38" spans="1:14">
      <c r="A38" s="194"/>
      <c r="B38" s="206">
        <v>3300001</v>
      </c>
      <c r="C38" s="211" t="s">
        <v>22</v>
      </c>
      <c r="D38" s="218">
        <v>4100000</v>
      </c>
      <c r="F38" s="226"/>
      <c r="G38" s="184">
        <f t="shared" ref="G38:M38" si="14">IF(AND(G$36=$C$3,G$35&gt;=$B$38,G$35&lt;=$D$38),ROUNDUP(G$35*0.25+275000,0),0)</f>
        <v>0</v>
      </c>
      <c r="H38" s="184">
        <f t="shared" si="14"/>
        <v>0</v>
      </c>
      <c r="I38" s="184">
        <f t="shared" si="14"/>
        <v>0</v>
      </c>
      <c r="J38" s="184">
        <f t="shared" si="14"/>
        <v>0</v>
      </c>
      <c r="K38" s="184">
        <f t="shared" si="14"/>
        <v>0</v>
      </c>
      <c r="L38" s="184">
        <f t="shared" si="14"/>
        <v>0</v>
      </c>
      <c r="M38" s="184">
        <f t="shared" si="14"/>
        <v>0</v>
      </c>
      <c r="N38" s="142"/>
    </row>
    <row r="39" spans="1:14">
      <c r="A39" s="194"/>
      <c r="B39" s="206">
        <v>4100001</v>
      </c>
      <c r="C39" s="211" t="s">
        <v>22</v>
      </c>
      <c r="D39" s="218">
        <v>7700000</v>
      </c>
      <c r="F39" s="226"/>
      <c r="G39" s="184">
        <f t="shared" ref="G39:M39" si="15">IF(AND(G$36=$C$3,G$35&gt;=$B$39,G$35&lt;=$D$39),ROUNDUP(G$35*0.15+685000,0),0)</f>
        <v>0</v>
      </c>
      <c r="H39" s="184">
        <f t="shared" si="15"/>
        <v>0</v>
      </c>
      <c r="I39" s="184">
        <f t="shared" si="15"/>
        <v>0</v>
      </c>
      <c r="J39" s="184">
        <f t="shared" si="15"/>
        <v>0</v>
      </c>
      <c r="K39" s="184">
        <f t="shared" si="15"/>
        <v>0</v>
      </c>
      <c r="L39" s="184">
        <f t="shared" si="15"/>
        <v>0</v>
      </c>
      <c r="M39" s="184">
        <f t="shared" si="15"/>
        <v>0</v>
      </c>
      <c r="N39" s="142"/>
    </row>
    <row r="40" spans="1:14">
      <c r="A40" s="194"/>
      <c r="B40" s="206">
        <v>7700001</v>
      </c>
      <c r="C40" s="211" t="s">
        <v>22</v>
      </c>
      <c r="D40" s="218">
        <v>10000000</v>
      </c>
      <c r="F40" s="226"/>
      <c r="G40" s="184">
        <f t="shared" ref="G40:M40" si="16">IF(AND(G$36=$C$3,G$35&gt;=$B$40,G$35&lt;=$D$40),ROUNDUP(G$35*0.05+1455000,0),0)</f>
        <v>0</v>
      </c>
      <c r="H40" s="184">
        <f t="shared" si="16"/>
        <v>0</v>
      </c>
      <c r="I40" s="184">
        <f t="shared" si="16"/>
        <v>0</v>
      </c>
      <c r="J40" s="184">
        <f t="shared" si="16"/>
        <v>0</v>
      </c>
      <c r="K40" s="184">
        <f t="shared" si="16"/>
        <v>0</v>
      </c>
      <c r="L40" s="184">
        <f t="shared" si="16"/>
        <v>0</v>
      </c>
      <c r="M40" s="184">
        <f t="shared" si="16"/>
        <v>0</v>
      </c>
      <c r="N40" s="142"/>
    </row>
    <row r="41" spans="1:14">
      <c r="A41" s="195"/>
      <c r="B41" s="206">
        <v>10000001</v>
      </c>
      <c r="C41" s="211" t="s">
        <v>22</v>
      </c>
      <c r="D41" s="218"/>
      <c r="F41" s="227"/>
      <c r="G41" s="184">
        <f t="shared" ref="G41:M41" si="17">IF(AND(G$36=$C$3,G$35&gt;=$B$41),1955000,0)</f>
        <v>0</v>
      </c>
      <c r="H41" s="184">
        <f t="shared" si="17"/>
        <v>0</v>
      </c>
      <c r="I41" s="184">
        <f t="shared" si="17"/>
        <v>0</v>
      </c>
      <c r="J41" s="184">
        <f t="shared" si="17"/>
        <v>0</v>
      </c>
      <c r="K41" s="184">
        <f t="shared" si="17"/>
        <v>0</v>
      </c>
      <c r="L41" s="184">
        <f t="shared" si="17"/>
        <v>0</v>
      </c>
      <c r="M41" s="184">
        <f t="shared" si="17"/>
        <v>0</v>
      </c>
      <c r="N41" s="142"/>
    </row>
    <row r="42" spans="1:14">
      <c r="A42" s="196" t="s">
        <v>28</v>
      </c>
      <c r="B42" s="206">
        <v>1</v>
      </c>
      <c r="C42" s="211" t="s">
        <v>22</v>
      </c>
      <c r="D42" s="218">
        <v>1300000</v>
      </c>
      <c r="F42" s="225" t="s">
        <v>28</v>
      </c>
      <c r="G42" s="184">
        <f t="shared" ref="G42:M42" si="18">IF(AND(G$36=$C$4,G$35&gt;=$B$42,G$35&lt;=$D$42),600000,0)</f>
        <v>0</v>
      </c>
      <c r="H42" s="184">
        <f t="shared" si="18"/>
        <v>0</v>
      </c>
      <c r="I42" s="184">
        <f t="shared" si="18"/>
        <v>0</v>
      </c>
      <c r="J42" s="184">
        <f t="shared" si="18"/>
        <v>0</v>
      </c>
      <c r="K42" s="184">
        <f t="shared" si="18"/>
        <v>0</v>
      </c>
      <c r="L42" s="184">
        <f t="shared" si="18"/>
        <v>0</v>
      </c>
      <c r="M42" s="184">
        <f t="shared" si="18"/>
        <v>0</v>
      </c>
      <c r="N42" s="142"/>
    </row>
    <row r="43" spans="1:14">
      <c r="A43" s="101"/>
      <c r="B43" s="206">
        <v>1300001</v>
      </c>
      <c r="C43" s="211" t="s">
        <v>22</v>
      </c>
      <c r="D43" s="218">
        <v>4100000</v>
      </c>
      <c r="F43" s="226"/>
      <c r="G43" s="184">
        <f t="shared" ref="G43:M43" si="19">IF(AND(G$36=$C$4,G$35&gt;=$B$43,G$35&lt;=$D$43),ROUNDUP(G$35*0.25+275000,0),0)</f>
        <v>0</v>
      </c>
      <c r="H43" s="184">
        <f t="shared" si="19"/>
        <v>0</v>
      </c>
      <c r="I43" s="184">
        <f t="shared" si="19"/>
        <v>0</v>
      </c>
      <c r="J43" s="184">
        <f t="shared" si="19"/>
        <v>0</v>
      </c>
      <c r="K43" s="184">
        <f t="shared" si="19"/>
        <v>0</v>
      </c>
      <c r="L43" s="184">
        <f t="shared" si="19"/>
        <v>0</v>
      </c>
      <c r="M43" s="184">
        <f t="shared" si="19"/>
        <v>0</v>
      </c>
      <c r="N43" s="142"/>
    </row>
    <row r="44" spans="1:14">
      <c r="A44" s="101"/>
      <c r="B44" s="206">
        <v>4100001</v>
      </c>
      <c r="C44" s="211" t="s">
        <v>22</v>
      </c>
      <c r="D44" s="218">
        <v>7700000</v>
      </c>
      <c r="F44" s="226"/>
      <c r="G44" s="184">
        <f t="shared" ref="G44:M44" si="20">IF(AND(G$36=$C$4,G$35&gt;=$B$44,G$35&lt;=$D$44),ROUNDUP(G$35*0.15+685000,0),0)</f>
        <v>0</v>
      </c>
      <c r="H44" s="184">
        <f t="shared" si="20"/>
        <v>0</v>
      </c>
      <c r="I44" s="184">
        <f t="shared" si="20"/>
        <v>0</v>
      </c>
      <c r="J44" s="184">
        <f t="shared" si="20"/>
        <v>0</v>
      </c>
      <c r="K44" s="184">
        <f t="shared" si="20"/>
        <v>0</v>
      </c>
      <c r="L44" s="184">
        <f t="shared" si="20"/>
        <v>0</v>
      </c>
      <c r="M44" s="184">
        <f t="shared" si="20"/>
        <v>0</v>
      </c>
      <c r="N44" s="142"/>
    </row>
    <row r="45" spans="1:14">
      <c r="A45" s="101"/>
      <c r="B45" s="206">
        <v>7700001</v>
      </c>
      <c r="C45" s="211" t="s">
        <v>22</v>
      </c>
      <c r="D45" s="218">
        <v>10000000</v>
      </c>
      <c r="F45" s="226"/>
      <c r="G45" s="184">
        <f t="shared" ref="G45:M45" si="21">IF(AND(G$36=$C$4,G$35&gt;=$B$45,G$35&lt;=$D$45),ROUNDUP(G$35*0.05+1455000,0),0)</f>
        <v>0</v>
      </c>
      <c r="H45" s="184">
        <f t="shared" si="21"/>
        <v>0</v>
      </c>
      <c r="I45" s="184">
        <f t="shared" si="21"/>
        <v>0</v>
      </c>
      <c r="J45" s="184">
        <f t="shared" si="21"/>
        <v>0</v>
      </c>
      <c r="K45" s="184">
        <f t="shared" si="21"/>
        <v>0</v>
      </c>
      <c r="L45" s="184">
        <f t="shared" si="21"/>
        <v>0</v>
      </c>
      <c r="M45" s="184">
        <f t="shared" si="21"/>
        <v>0</v>
      </c>
      <c r="N45" s="142"/>
    </row>
    <row r="46" spans="1:14">
      <c r="A46" s="197"/>
      <c r="B46" s="206">
        <v>10000001</v>
      </c>
      <c r="C46" s="211" t="s">
        <v>22</v>
      </c>
      <c r="D46" s="218"/>
      <c r="F46" s="227"/>
      <c r="G46" s="184">
        <f t="shared" ref="G46:M46" si="22">IF(AND(G$36=$C$4,G$35&gt;=$B$46),1955000,0)</f>
        <v>0</v>
      </c>
      <c r="H46" s="184">
        <f t="shared" si="22"/>
        <v>0</v>
      </c>
      <c r="I46" s="184">
        <f t="shared" si="22"/>
        <v>0</v>
      </c>
      <c r="J46" s="184">
        <f t="shared" si="22"/>
        <v>0</v>
      </c>
      <c r="K46" s="184">
        <f t="shared" si="22"/>
        <v>0</v>
      </c>
      <c r="L46" s="184">
        <f t="shared" si="22"/>
        <v>0</v>
      </c>
      <c r="M46" s="184">
        <f t="shared" si="22"/>
        <v>0</v>
      </c>
      <c r="N46" s="142"/>
    </row>
    <row r="47" spans="1:14">
      <c r="A47" s="101"/>
      <c r="B47" s="207"/>
      <c r="C47" s="212"/>
      <c r="D47" s="207"/>
      <c r="F47" s="215" t="s">
        <v>25</v>
      </c>
      <c r="G47" s="184">
        <f t="shared" ref="G47:M47" si="23">SUM(G37:G46)</f>
        <v>0</v>
      </c>
      <c r="H47" s="184">
        <f t="shared" si="23"/>
        <v>0</v>
      </c>
      <c r="I47" s="184">
        <f t="shared" si="23"/>
        <v>0</v>
      </c>
      <c r="J47" s="184">
        <f t="shared" si="23"/>
        <v>0</v>
      </c>
      <c r="K47" s="184">
        <f t="shared" si="23"/>
        <v>0</v>
      </c>
      <c r="L47" s="184">
        <f t="shared" si="23"/>
        <v>0</v>
      </c>
      <c r="M47" s="184">
        <f t="shared" si="23"/>
        <v>0</v>
      </c>
      <c r="N47" s="142"/>
    </row>
    <row r="48" spans="1:14" ht="37.5">
      <c r="A48" s="190"/>
      <c r="F48" s="228" t="s">
        <v>8</v>
      </c>
      <c r="G48" s="230">
        <f t="shared" ref="G48:M48" si="24">MAX(G$35-G$47,0)</f>
        <v>0</v>
      </c>
      <c r="H48" s="230">
        <f t="shared" si="24"/>
        <v>0</v>
      </c>
      <c r="I48" s="230">
        <f t="shared" si="24"/>
        <v>0</v>
      </c>
      <c r="J48" s="230">
        <f t="shared" si="24"/>
        <v>0</v>
      </c>
      <c r="K48" s="230">
        <f t="shared" si="24"/>
        <v>0</v>
      </c>
      <c r="L48" s="230">
        <f t="shared" si="24"/>
        <v>0</v>
      </c>
      <c r="M48" s="230">
        <f t="shared" si="24"/>
        <v>0</v>
      </c>
      <c r="N48" s="142"/>
    </row>
    <row r="49" spans="1:14" ht="19.5">
      <c r="A49" s="193"/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33"/>
    </row>
    <row r="50" spans="1:14" ht="19.5"/>
    <row r="51" spans="1:14">
      <c r="A51" s="198" t="s">
        <v>2</v>
      </c>
      <c r="B51" s="204"/>
      <c r="C51" s="204"/>
      <c r="D51" s="204"/>
      <c r="E51" s="204"/>
      <c r="F51" s="204"/>
      <c r="G51" s="231"/>
    </row>
    <row r="52" spans="1:14">
      <c r="A52" s="199" t="s">
        <v>61</v>
      </c>
      <c r="B52" s="208"/>
      <c r="C52" s="213">
        <f>'R7試算シート'!S65</f>
        <v>0</v>
      </c>
      <c r="G52" s="142"/>
    </row>
    <row r="53" spans="1:14" ht="34.5" customHeight="1">
      <c r="A53" s="199" t="s">
        <v>15</v>
      </c>
      <c r="B53" s="208"/>
      <c r="C53" s="213">
        <f>'R7試算シート'!Y63</f>
        <v>0</v>
      </c>
      <c r="G53" s="142"/>
    </row>
    <row r="54" spans="1:14">
      <c r="A54" s="199" t="s">
        <v>50</v>
      </c>
      <c r="B54" s="208"/>
      <c r="C54" s="214">
        <f>'R7試算シート'!W63</f>
        <v>0</v>
      </c>
      <c r="G54" s="142"/>
    </row>
    <row r="55" spans="1:14">
      <c r="A55" s="101"/>
      <c r="B55" s="2"/>
      <c r="F55" s="139" t="s">
        <v>58</v>
      </c>
      <c r="G55" s="142"/>
    </row>
    <row r="56" spans="1:14">
      <c r="A56" s="200" t="s">
        <v>30</v>
      </c>
      <c r="B56" s="183"/>
      <c r="C56" s="215">
        <v>0</v>
      </c>
      <c r="D56" s="176" t="s">
        <v>62</v>
      </c>
      <c r="E56" s="223">
        <f>430000+('R7試算シート'!V75*C54)+100000*(IF(C53&gt;1,C53-1,0))</f>
        <v>430000</v>
      </c>
      <c r="F56" s="171">
        <f>IF(AND(C52&gt;=C56,C52&lt;=E56),7,"")</f>
        <v>7</v>
      </c>
      <c r="G56" s="142"/>
    </row>
    <row r="57" spans="1:14">
      <c r="A57" s="200" t="s">
        <v>63</v>
      </c>
      <c r="B57" s="183"/>
      <c r="C57" s="215">
        <f>E56+1</f>
        <v>430001</v>
      </c>
      <c r="D57" s="176" t="s">
        <v>62</v>
      </c>
      <c r="E57" s="223">
        <f>430000+('R7試算シート'!V76*C54)+(100000*(IF(C53&gt;1,C53-1,0)))</f>
        <v>430000</v>
      </c>
      <c r="F57" s="171">
        <f>IF(AND(C52&gt;=C57,C52&lt;=E57),5,0)</f>
        <v>0</v>
      </c>
      <c r="G57" s="142"/>
    </row>
    <row r="58" spans="1:14">
      <c r="A58" s="200" t="s">
        <v>29</v>
      </c>
      <c r="B58" s="183"/>
      <c r="C58" s="215">
        <f>E57+1</f>
        <v>430001</v>
      </c>
      <c r="D58" s="176" t="s">
        <v>62</v>
      </c>
      <c r="E58" s="223">
        <f>430000+(C54*'R7試算シート'!V77)+(100000*(IF(C53&gt;1,C53-1,0)))</f>
        <v>430000</v>
      </c>
      <c r="F58" s="171">
        <f>IF(AND(C52&gt;=C58,C52&lt;=E58),2,0)</f>
        <v>0</v>
      </c>
      <c r="G58" s="142"/>
    </row>
    <row r="59" spans="1:14">
      <c r="A59" s="200" t="s">
        <v>39</v>
      </c>
      <c r="B59" s="183"/>
      <c r="C59" s="215">
        <f>E58+1</f>
        <v>430001</v>
      </c>
      <c r="D59" s="176" t="s">
        <v>62</v>
      </c>
      <c r="E59" s="223"/>
      <c r="F59" s="171">
        <f>IF(C52&lt;=C59,0,0)</f>
        <v>0</v>
      </c>
      <c r="G59" s="142"/>
    </row>
    <row r="60" spans="1:14">
      <c r="A60" s="190"/>
      <c r="E60" s="224" t="s">
        <v>47</v>
      </c>
      <c r="F60" s="229">
        <f>SUM(F56:F59)</f>
        <v>7</v>
      </c>
      <c r="G60" s="232" t="s">
        <v>110</v>
      </c>
    </row>
    <row r="61" spans="1:14" ht="19.5">
      <c r="A61" s="193"/>
      <c r="B61" s="205"/>
      <c r="C61" s="205"/>
      <c r="D61" s="205"/>
      <c r="E61" s="205"/>
      <c r="F61" s="205"/>
      <c r="G61" s="233"/>
    </row>
  </sheetData>
  <sheetProtection algorithmName="SHA-512" hashValue="csEVFL3GlxJGjzBZiQ3IH4Ptgiic9/WoT6lgUrIoVVutLzttQwf4COzMjgs+WRcc/EfTVrhy4RHxaxzQo/t6CQ==" saltValue="p3La4h710NDNWo1nwF8DEg==" spinCount="100000" sheet="1" objects="1" scenarios="1" selectLockedCells="1"/>
  <mergeCells count="12">
    <mergeCell ref="B36:D36"/>
    <mergeCell ref="A52:B52"/>
    <mergeCell ref="A53:B53"/>
    <mergeCell ref="A54:B54"/>
    <mergeCell ref="A56:B56"/>
    <mergeCell ref="A57:B57"/>
    <mergeCell ref="A58:B58"/>
    <mergeCell ref="A59:B59"/>
    <mergeCell ref="A37:A41"/>
    <mergeCell ref="F37:F41"/>
    <mergeCell ref="A42:A46"/>
    <mergeCell ref="F42:F4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R7試算シート</vt:lpstr>
      <vt:lpstr>計算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内藤　比奈子</dc:creator>
  <cp:lastModifiedBy>宇都宮　光</cp:lastModifiedBy>
  <cp:lastPrinted>2023-07-31T05:20:15Z</cp:lastPrinted>
  <dcterms:created xsi:type="dcterms:W3CDTF">2023-07-05T06:17:40Z</dcterms:created>
  <dcterms:modified xsi:type="dcterms:W3CDTF">2025-06-03T00:41:22Z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2025-06-03T00:41:22Z</vt:filetime>
  </property>
</Properties>
</file>