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workbookProtection workbookPassword="C617" lockStructure="1"/>
  <bookViews>
    <workbookView xWindow="-120" yWindow="-120" windowWidth="20730" windowHeight="11160"/>
  </bookViews>
  <sheets>
    <sheet name="R8試算シート" sheetId="3" r:id="rId1"/>
    <sheet name="計算" sheetId="2" state="hidden" r:id="rId2"/>
  </sheets>
  <definedNames>
    <definedName name="_xlnm.Print_Area" localSheetId="0">'R8試算シート'!$A$39:$T$76</definedName>
    <definedName name="_xlnm.Print_Titles" localSheetId="0">'R8試算シート'!$2:$5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<sst xmlns="http://schemas.openxmlformats.org/spreadsheetml/2006/main" xmlns:r="http://schemas.openxmlformats.org/officeDocument/2006/relationships" count="130" uniqueCount="130">
  <si>
    <t>医療</t>
    <rPh sb="0" eb="2">
      <t>イリョウ</t>
    </rPh>
    <phoneticPr fontId="2"/>
  </si>
  <si>
    <t>世帯主</t>
    <rPh sb="0" eb="3">
      <t>セタイヌシ</t>
    </rPh>
    <phoneticPr fontId="2"/>
  </si>
  <si>
    <t>軽減判定計算</t>
    <rPh sb="0" eb="4">
      <t>ケイゲンハンテイ</t>
    </rPh>
    <rPh sb="4" eb="6">
      <t>ケイサン</t>
    </rPh>
    <phoneticPr fontId="2"/>
  </si>
  <si>
    <t>⑥</t>
  </si>
  <si>
    <t>医療分</t>
    <rPh sb="0" eb="2">
      <t>イリョウ</t>
    </rPh>
    <rPh sb="2" eb="3">
      <t>ブン</t>
    </rPh>
    <phoneticPr fontId="18"/>
  </si>
  <si>
    <t>後期高齢者
支援金分</t>
    <rPh sb="0" eb="2">
      <t>コウキ</t>
    </rPh>
    <rPh sb="2" eb="5">
      <t>コウレイシャ</t>
    </rPh>
    <rPh sb="6" eb="8">
      <t>シエン</t>
    </rPh>
    <rPh sb="8" eb="9">
      <t>キン</t>
    </rPh>
    <rPh sb="9" eb="10">
      <t>ブン</t>
    </rPh>
    <phoneticPr fontId="18"/>
  </si>
  <si>
    <t>年間給与収入（見積額）</t>
    <rPh sb="0" eb="2">
      <t>ネンカン</t>
    </rPh>
    <rPh sb="2" eb="4">
      <t>キュウヨ</t>
    </rPh>
    <rPh sb="4" eb="6">
      <t>シュウニュウ</t>
    </rPh>
    <rPh sb="7" eb="9">
      <t>ミツモ</t>
    </rPh>
    <rPh sb="9" eb="10">
      <t>ガク</t>
    </rPh>
    <phoneticPr fontId="2"/>
  </si>
  <si>
    <t>①所得割</t>
    <rPh sb="1" eb="3">
      <t>ショトク</t>
    </rPh>
    <rPh sb="3" eb="4">
      <t>ワリ</t>
    </rPh>
    <phoneticPr fontId="18"/>
  </si>
  <si>
    <t>公的年金
雑所得</t>
    <rPh sb="0" eb="2">
      <t>コウテキ</t>
    </rPh>
    <rPh sb="2" eb="4">
      <t>ネンキン</t>
    </rPh>
    <rPh sb="5" eb="8">
      <t>ザツショトク</t>
    </rPh>
    <phoneticPr fontId="2"/>
  </si>
  <si>
    <t>③平等割</t>
    <rPh sb="1" eb="3">
      <t>ビョウドウ</t>
    </rPh>
    <rPh sb="3" eb="4">
      <t>ワ</t>
    </rPh>
    <phoneticPr fontId="18"/>
  </si>
  <si>
    <t>②均等割</t>
    <rPh sb="1" eb="4">
      <t>キントウワ</t>
    </rPh>
    <phoneticPr fontId="18"/>
  </si>
  <si>
    <t>40歳～64歳</t>
    <rPh sb="2" eb="3">
      <t>サイ</t>
    </rPh>
    <rPh sb="6" eb="7">
      <t>サイ</t>
    </rPh>
    <phoneticPr fontId="2"/>
  </si>
  <si>
    <t>合計</t>
    <rPh sb="0" eb="2">
      <t>ゴウケイ</t>
    </rPh>
    <phoneticPr fontId="18"/>
  </si>
  <si>
    <t>65歳～74歳</t>
    <rPh sb="2" eb="3">
      <t>サイ</t>
    </rPh>
    <rPh sb="6" eb="7">
      <t>サイ</t>
    </rPh>
    <phoneticPr fontId="2"/>
  </si>
  <si>
    <t>年金所得</t>
    <rPh sb="0" eb="4">
      <t>ネンキンショトク</t>
    </rPh>
    <phoneticPr fontId="2"/>
  </si>
  <si>
    <t>非自発的
失業者</t>
    <rPh sb="0" eb="4">
      <t>ヒジハツテキ</t>
    </rPh>
    <rPh sb="5" eb="8">
      <t>シツギョウシャ</t>
    </rPh>
    <phoneticPr fontId="2"/>
  </si>
  <si>
    <t>介護用合計賦課所得</t>
    <rPh sb="0" eb="2">
      <t>カイゴ</t>
    </rPh>
    <rPh sb="2" eb="3">
      <t>ヨウ</t>
    </rPh>
    <rPh sb="3" eb="5">
      <t>ゴウケイ</t>
    </rPh>
    <rPh sb="5" eb="7">
      <t>フカ</t>
    </rPh>
    <rPh sb="7" eb="9">
      <t>ショトク</t>
    </rPh>
    <phoneticPr fontId="2"/>
  </si>
  <si>
    <t>給与所得者の数</t>
    <rPh sb="0" eb="5">
      <t>キュウヨショトクシャ</t>
    </rPh>
    <rPh sb="6" eb="7">
      <t>カズ</t>
    </rPh>
    <phoneticPr fontId="2"/>
  </si>
  <si>
    <t>給与所得計算</t>
    <rPh sb="0" eb="2">
      <t>キュウヨ</t>
    </rPh>
    <rPh sb="2" eb="4">
      <t>ショトク</t>
    </rPh>
    <rPh sb="4" eb="6">
      <t>ケイサン</t>
    </rPh>
    <phoneticPr fontId="2"/>
  </si>
  <si>
    <t>6歳～18歳</t>
    <rPh sb="1" eb="2">
      <t>サイ</t>
    </rPh>
    <rPh sb="5" eb="6">
      <t>サイ</t>
    </rPh>
    <phoneticPr fontId="2"/>
  </si>
  <si>
    <t>④軽減</t>
    <rPh sb="1" eb="3">
      <t>ケイゲン</t>
    </rPh>
    <phoneticPr fontId="18"/>
  </si>
  <si>
    <t>～</t>
  </si>
  <si>
    <t>受給者の区分</t>
    <rPh sb="0" eb="3">
      <t>ジュキュウシャ</t>
    </rPh>
    <rPh sb="4" eb="6">
      <t>クブン</t>
    </rPh>
    <phoneticPr fontId="2"/>
  </si>
  <si>
    <t>控除額</t>
    <rPh sb="0" eb="2">
      <t>コウジョ</t>
    </rPh>
    <rPh sb="2" eb="3">
      <t>ガク</t>
    </rPh>
    <phoneticPr fontId="2"/>
  </si>
  <si>
    <t>年間保険料</t>
    <rPh sb="0" eb="2">
      <t>ネンカン</t>
    </rPh>
    <rPh sb="2" eb="5">
      <t>ホケンリョウ</t>
    </rPh>
    <phoneticPr fontId="2"/>
  </si>
  <si>
    <t>65歳以上</t>
    <rPh sb="2" eb="3">
      <t>サイ</t>
    </rPh>
    <rPh sb="3" eb="5">
      <t>イジョウ</t>
    </rPh>
    <phoneticPr fontId="2"/>
  </si>
  <si>
    <t>64歳以下</t>
    <rPh sb="2" eb="3">
      <t>サイ</t>
    </rPh>
    <rPh sb="3" eb="5">
      <t>イカ</t>
    </rPh>
    <phoneticPr fontId="2"/>
  </si>
  <si>
    <t>75歳以上</t>
    <rPh sb="2" eb="3">
      <t>サイ</t>
    </rPh>
    <rPh sb="3" eb="5">
      <t>イジョウ</t>
    </rPh>
    <phoneticPr fontId="2"/>
  </si>
  <si>
    <t>7割</t>
    <rPh sb="1" eb="2">
      <t>ワリ</t>
    </rPh>
    <phoneticPr fontId="2"/>
  </si>
  <si>
    <t>2割</t>
    <rPh sb="1" eb="2">
      <t>ワリ</t>
    </rPh>
    <phoneticPr fontId="2"/>
  </si>
  <si>
    <t>)</t>
  </si>
  <si>
    <t>主</t>
    <rPh sb="0" eb="1">
      <t>ヌシ</t>
    </rPh>
    <phoneticPr fontId="2"/>
  </si>
  <si>
    <t>収入</t>
    <rPh sb="0" eb="2">
      <t>シュウニュウ</t>
    </rPh>
    <phoneticPr fontId="2"/>
  </si>
  <si>
    <t>18歳～39歳</t>
    <rPh sb="2" eb="3">
      <t>サイ</t>
    </rPh>
    <rPh sb="6" eb="7">
      <t>サイ</t>
    </rPh>
    <phoneticPr fontId="2"/>
  </si>
  <si>
    <t>介護人数</t>
    <rPh sb="0" eb="2">
      <t>カイゴ</t>
    </rPh>
    <rPh sb="2" eb="4">
      <t>ニンズウ</t>
    </rPh>
    <phoneticPr fontId="2"/>
  </si>
  <si>
    <t>所得</t>
    <rPh sb="0" eb="2">
      <t>ショトク</t>
    </rPh>
    <phoneticPr fontId="2"/>
  </si>
  <si>
    <t>⑤</t>
  </si>
  <si>
    <t>均等</t>
    <rPh sb="0" eb="2">
      <t>キントウ</t>
    </rPh>
    <phoneticPr fontId="2"/>
  </si>
  <si>
    <t>年齢</t>
    <rPh sb="0" eb="2">
      <t>ネンレイ</t>
    </rPh>
    <phoneticPr fontId="2"/>
  </si>
  <si>
    <t>軽減なし</t>
    <rPh sb="0" eb="2">
      <t>ケイゲン</t>
    </rPh>
    <phoneticPr fontId="2"/>
  </si>
  <si>
    <t>年金所得計算</t>
    <rPh sb="0" eb="2">
      <t>ネンキン</t>
    </rPh>
    <rPh sb="2" eb="4">
      <t>ショトク</t>
    </rPh>
    <rPh sb="4" eb="6">
      <t>ケイサン</t>
    </rPh>
    <phoneticPr fontId="2"/>
  </si>
  <si>
    <t>➀</t>
  </si>
  <si>
    <t>②</t>
  </si>
  <si>
    <t>③</t>
  </si>
  <si>
    <t>介護</t>
    <rPh sb="0" eb="2">
      <t>カイゴ</t>
    </rPh>
    <phoneticPr fontId="2"/>
  </si>
  <si>
    <t>判定結果</t>
    <rPh sb="0" eb="2">
      <t>ハンテイ</t>
    </rPh>
    <rPh sb="2" eb="4">
      <t>ケッカ</t>
    </rPh>
    <phoneticPr fontId="2"/>
  </si>
  <si>
    <t>④</t>
  </si>
  <si>
    <t>約</t>
    <rPh sb="0" eb="1">
      <t>ヤク</t>
    </rPh>
    <phoneticPr fontId="2"/>
  </si>
  <si>
    <t>合計賦課所得</t>
    <rPh sb="0" eb="2">
      <t>ゴウケイ</t>
    </rPh>
    <rPh sb="2" eb="4">
      <t>フカ</t>
    </rPh>
    <rPh sb="4" eb="6">
      <t>ショトク</t>
    </rPh>
    <phoneticPr fontId="2"/>
  </si>
  <si>
    <t>軽減判定用所得</t>
    <rPh sb="0" eb="5">
      <t>ケイゲンハンテイヨウ</t>
    </rPh>
    <rPh sb="5" eb="7">
      <t>ショトク</t>
    </rPh>
    <phoneticPr fontId="2"/>
  </si>
  <si>
    <t>加入者数</t>
    <rPh sb="0" eb="4">
      <t>カニュウシャスウ</t>
    </rPh>
    <phoneticPr fontId="2"/>
  </si>
  <si>
    <t>未就学児</t>
    <rPh sb="0" eb="4">
      <t>ミシュウガクジ</t>
    </rPh>
    <phoneticPr fontId="2"/>
  </si>
  <si>
    <t>平等</t>
    <rPh sb="0" eb="2">
      <t>ビョウドウ</t>
    </rPh>
    <phoneticPr fontId="2"/>
  </si>
  <si>
    <t>人</t>
  </si>
  <si>
    <t>割</t>
    <rPh sb="0" eb="1">
      <t>ワ</t>
    </rPh>
    <phoneticPr fontId="2"/>
  </si>
  <si>
    <t>人</t>
    <rPh sb="0" eb="1">
      <t>ニン</t>
    </rPh>
    <phoneticPr fontId="2"/>
  </si>
  <si>
    <t>介護分（40～64歳）</t>
  </si>
  <si>
    <t>×</t>
  </si>
  <si>
    <t>判定</t>
    <rPh sb="0" eb="2">
      <t>ハンテイ</t>
    </rPh>
    <phoneticPr fontId="2"/>
  </si>
  <si>
    <t>（②＋③）</t>
  </si>
  <si>
    <t>判定用所得</t>
    <rPh sb="0" eb="2">
      <t>ハンテイ</t>
    </rPh>
    <rPh sb="2" eb="3">
      <t>ヨウ</t>
    </rPh>
    <rPh sb="3" eb="5">
      <t>ショトク</t>
    </rPh>
    <phoneticPr fontId="2"/>
  </si>
  <si>
    <t>~</t>
  </si>
  <si>
    <t>5割</t>
    <rPh sb="1" eb="2">
      <t>ワリ</t>
    </rPh>
    <phoneticPr fontId="2"/>
  </si>
  <si>
    <t>1か月相当分</t>
    <rPh sb="2" eb="3">
      <t>ゲツ</t>
    </rPh>
    <rPh sb="3" eb="6">
      <t>ソウトウブン</t>
    </rPh>
    <phoneticPr fontId="2"/>
  </si>
  <si>
    <t>円</t>
    <rPh sb="0" eb="1">
      <t>エン</t>
    </rPh>
    <phoneticPr fontId="2"/>
  </si>
  <si>
    <t>支援</t>
    <rPh sb="0" eb="2">
      <t>シエン</t>
    </rPh>
    <phoneticPr fontId="2"/>
  </si>
  <si>
    <t>上限</t>
    <rPh sb="0" eb="2">
      <t>ジョウゲン</t>
    </rPh>
    <phoneticPr fontId="2"/>
  </si>
  <si>
    <t>この計算シートでは、おおよその年間の保険料と、1か月あたりの保険料を算出できます。</t>
    <rPh sb="2" eb="4">
      <t>ケイサン</t>
    </rPh>
    <rPh sb="15" eb="17">
      <t>ネンカン</t>
    </rPh>
    <rPh sb="18" eb="21">
      <t>ホケンリョウ</t>
    </rPh>
    <rPh sb="25" eb="26">
      <t>ゲツ</t>
    </rPh>
    <rPh sb="30" eb="33">
      <t>ホケンリョウ</t>
    </rPh>
    <rPh sb="34" eb="36">
      <t>サンシュツ</t>
    </rPh>
    <phoneticPr fontId="2"/>
  </si>
  <si>
    <t>収入金額等</t>
    <rPh sb="0" eb="2">
      <t>シュウニュウ</t>
    </rPh>
    <rPh sb="2" eb="4">
      <t>キンガク</t>
    </rPh>
    <rPh sb="4" eb="5">
      <t>トウ</t>
    </rPh>
    <phoneticPr fontId="2"/>
  </si>
  <si>
    <r>
      <t>給与・年金については</t>
    </r>
    <r>
      <rPr>
        <sz val="11"/>
        <color rgb="FFFF0000"/>
        <rFont val="游ゴシック"/>
      </rPr>
      <t>収入</t>
    </r>
    <r>
      <rPr>
        <sz val="11"/>
        <color theme="1"/>
        <rFont val="游ゴシック"/>
      </rPr>
      <t>金額（源泉徴収票「支払金額」の部分）を入力してください。その他所得（不動産所得・営業所得等）がある場合には「その他所得」に</t>
    </r>
    <r>
      <rPr>
        <sz val="11"/>
        <color rgb="FFFF0000"/>
        <rFont val="游ゴシック"/>
      </rPr>
      <t>所得</t>
    </r>
    <r>
      <rPr>
        <sz val="11"/>
        <color theme="1"/>
        <rFont val="游ゴシック"/>
      </rPr>
      <t>金額を入力してください。</t>
    </r>
    <rPh sb="0" eb="1">
      <t>ヨウ</t>
    </rPh>
    <rPh sb="15" eb="20">
      <t>ゲンセンチョウシュウヒョウ</t>
    </rPh>
    <rPh sb="21" eb="23">
      <t>シハラ</t>
    </rPh>
    <rPh sb="23" eb="25">
      <t>キンガク</t>
    </rPh>
    <rPh sb="27" eb="29">
      <t>ブブン</t>
    </rPh>
    <rPh sb="31" eb="33">
      <t>ニュウリョク</t>
    </rPh>
    <phoneticPr fontId="2"/>
  </si>
  <si>
    <t>6歳～17歳</t>
    <rPh sb="1" eb="2">
      <t>サイ</t>
    </rPh>
    <rPh sb="5" eb="6">
      <t>サイ</t>
    </rPh>
    <phoneticPr fontId="2"/>
  </si>
  <si>
    <t>世帯主は加入しない場合でも必ず入力してください。</t>
    <rPh sb="0" eb="3">
      <t>セタイヌシ</t>
    </rPh>
    <rPh sb="4" eb="6">
      <t>カニュウ</t>
    </rPh>
    <rPh sb="9" eb="11">
      <t>バアイ</t>
    </rPh>
    <rPh sb="13" eb="14">
      <t>カナラ</t>
    </rPh>
    <rPh sb="15" eb="17">
      <t>ニュウリョク</t>
    </rPh>
    <phoneticPr fontId="2"/>
  </si>
  <si>
    <t>※　18歳未満加入者（18歳に達する日以後の最初の3月31日以前である加入者）の均等割は全額軽減となり、
　　その軽減に相当する金額を18歳以上の加入者が負担するもの。</t>
  </si>
  <si>
    <t>非自発的失業者</t>
    <rPh sb="0" eb="4">
      <t>ヒジハツテキ</t>
    </rPh>
    <rPh sb="4" eb="7">
      <t>シツギョウシャ</t>
    </rPh>
    <phoneticPr fontId="2"/>
  </si>
  <si>
    <t>（ 年間保険料／12か月 ）</t>
    <rPh sb="2" eb="7">
      <t>ネンカンホケンリョウ</t>
    </rPh>
    <rPh sb="11" eb="12">
      <t>ゲツ</t>
    </rPh>
    <phoneticPr fontId="2"/>
  </si>
  <si>
    <r>
      <t>給与</t>
    </r>
    <r>
      <rPr>
        <b/>
        <sz val="11"/>
        <color rgb="FFFF0000"/>
        <rFont val="游ゴシック"/>
      </rPr>
      <t>収入</t>
    </r>
    <rPh sb="0" eb="4">
      <t>キュウヨシュウニュウ</t>
    </rPh>
    <phoneticPr fontId="2"/>
  </si>
  <si>
    <r>
      <t>年金</t>
    </r>
    <r>
      <rPr>
        <b/>
        <sz val="11"/>
        <color rgb="FFFF0000"/>
        <rFont val="游ゴシック"/>
      </rPr>
      <t>収入</t>
    </r>
    <rPh sb="0" eb="4">
      <t>ネンキンシュウニュウ</t>
    </rPh>
    <phoneticPr fontId="2"/>
  </si>
  <si>
    <r>
      <t>その他</t>
    </r>
    <r>
      <rPr>
        <b/>
        <sz val="11"/>
        <color rgb="FFFF0000"/>
        <rFont val="游ゴシック"/>
      </rPr>
      <t>所得</t>
    </r>
    <rPh sb="2" eb="3">
      <t>ホカ</t>
    </rPh>
    <rPh sb="3" eb="5">
      <t>ショトク</t>
    </rPh>
    <phoneticPr fontId="2"/>
  </si>
  <si>
    <t>給与所得者数</t>
    <rPh sb="0" eb="2">
      <t>キュウヨ</t>
    </rPh>
    <rPh sb="2" eb="5">
      <t>ショトクシャ</t>
    </rPh>
    <rPh sb="5" eb="6">
      <t>スウ</t>
    </rPh>
    <phoneticPr fontId="2"/>
  </si>
  <si>
    <t>所得金額</t>
  </si>
  <si>
    <t>合計</t>
    <rPh sb="0" eb="2">
      <t>ゴウケイ</t>
    </rPh>
    <phoneticPr fontId="2"/>
  </si>
  <si>
    <t>↓</t>
  </si>
  <si>
    <t>4/1時点の年齢区分</t>
    <rPh sb="3" eb="5">
      <t>ジテン</t>
    </rPh>
    <rPh sb="6" eb="8">
      <t>ネンレイ</t>
    </rPh>
    <rPh sb="8" eb="10">
      <t>クブン</t>
    </rPh>
    <phoneticPr fontId="2"/>
  </si>
  <si>
    <r>
      <rPr>
        <b/>
        <sz val="11"/>
        <color rgb="FFFF0000"/>
        <rFont val="游ゴシック"/>
      </rPr>
      <t>1/1時点</t>
    </r>
    <r>
      <rPr>
        <b/>
        <sz val="11"/>
        <color theme="1"/>
        <rFont val="游ゴシック"/>
      </rPr>
      <t xml:space="preserve">
年齢区分</t>
    </r>
    <rPh sb="3" eb="5">
      <t>ジテン</t>
    </rPh>
    <rPh sb="6" eb="10">
      <t>ネンレイクブン</t>
    </rPh>
    <phoneticPr fontId="2"/>
  </si>
  <si>
    <t>1/1時点の年齢区分</t>
    <rPh sb="3" eb="5">
      <t>ジテン</t>
    </rPh>
    <rPh sb="6" eb="8">
      <t>ネンレイ</t>
    </rPh>
    <rPh sb="8" eb="10">
      <t>クブン</t>
    </rPh>
    <phoneticPr fontId="2"/>
  </si>
  <si>
    <t>所得金額</t>
    <rPh sb="0" eb="4">
      <t>ショトクキンガク</t>
    </rPh>
    <phoneticPr fontId="2"/>
  </si>
  <si>
    <t>１世帯</t>
  </si>
  <si>
    <t>19歳以上</t>
    <rPh sb="2" eb="3">
      <t>サイ</t>
    </rPh>
    <rPh sb="3" eb="5">
      <t>イジョウ</t>
    </rPh>
    <phoneticPr fontId="2"/>
  </si>
  <si>
    <t>）</t>
  </si>
  <si>
    <r>
      <t xml:space="preserve">給与所得
</t>
    </r>
    <r>
      <rPr>
        <sz val="10"/>
        <color rgb="FFFF0000"/>
        <rFont val="游ゴシック"/>
      </rPr>
      <t>(調整控除・非自後）</t>
    </r>
    <rPh sb="0" eb="4">
      <t>キュウヨショトク</t>
    </rPh>
    <rPh sb="6" eb="8">
      <t>チョウセイ</t>
    </rPh>
    <rPh sb="8" eb="10">
      <t>コウジョ</t>
    </rPh>
    <rPh sb="11" eb="12">
      <t>ヒ</t>
    </rPh>
    <rPh sb="12" eb="13">
      <t>ジ</t>
    </rPh>
    <rPh sb="13" eb="14">
      <t>ゴ</t>
    </rPh>
    <phoneticPr fontId="2"/>
  </si>
  <si>
    <t>軽減判定用年金所得（所得-15万）</t>
    <rPh sb="0" eb="2">
      <t>ケイゲン</t>
    </rPh>
    <rPh sb="2" eb="4">
      <t>ハンテイ</t>
    </rPh>
    <rPh sb="4" eb="5">
      <t>ヨウ</t>
    </rPh>
    <rPh sb="5" eb="7">
      <t>ネンキン</t>
    </rPh>
    <rPh sb="7" eb="9">
      <t>ショトク</t>
    </rPh>
    <rPh sb="10" eb="12">
      <t>ショトク</t>
    </rPh>
    <rPh sb="15" eb="16">
      <t>マン</t>
    </rPh>
    <phoneticPr fontId="2"/>
  </si>
  <si>
    <t>0歳～5歳</t>
    <rPh sb="1" eb="2">
      <t>サイ</t>
    </rPh>
    <rPh sb="4" eb="5">
      <t>サイ</t>
    </rPh>
    <phoneticPr fontId="2"/>
  </si>
  <si>
    <t>する</t>
  </si>
  <si>
    <t>しない</t>
  </si>
  <si>
    <t>国保加入</t>
    <rPh sb="0" eb="2">
      <t>コクホ</t>
    </rPh>
    <rPh sb="2" eb="4">
      <t>カニュウ</t>
    </rPh>
    <phoneticPr fontId="2"/>
  </si>
  <si>
    <t>国保
加入</t>
    <rPh sb="0" eb="2">
      <t>コクホ</t>
    </rPh>
    <rPh sb="3" eb="5">
      <t>カニュウ</t>
    </rPh>
    <phoneticPr fontId="2"/>
  </si>
  <si>
    <t>世帯主が74歳未満の方で、国保に加入する場合は「する」を選択してください。</t>
    <rPh sb="10" eb="11">
      <t>カタ</t>
    </rPh>
    <phoneticPr fontId="2"/>
  </si>
  <si>
    <t>の世帯主と加入者の年齢区分・所得等を入力してください。</t>
    <rPh sb="1" eb="4">
      <t>セタイヌシ</t>
    </rPh>
    <rPh sb="5" eb="8">
      <t>カニュウシャ</t>
    </rPh>
    <rPh sb="9" eb="13">
      <t>ネンレイクブン</t>
    </rPh>
    <rPh sb="14" eb="17">
      <t>ショトクトウ</t>
    </rPh>
    <rPh sb="18" eb="20">
      <t>ニュウリョク</t>
    </rPh>
    <phoneticPr fontId="2"/>
  </si>
  <si>
    <t>退職所得、障害年金・遺族年金等非課税の年金は入力不要です。</t>
  </si>
  <si>
    <t>カウント用</t>
    <rPh sb="4" eb="5">
      <t>ヨウ</t>
    </rPh>
    <phoneticPr fontId="2"/>
  </si>
  <si>
    <t>非自</t>
    <rPh sb="0" eb="1">
      <t>ヒ</t>
    </rPh>
    <rPh sb="1" eb="2">
      <t>ジ</t>
    </rPh>
    <phoneticPr fontId="2"/>
  </si>
  <si>
    <t>給与所得者</t>
    <rPh sb="0" eb="5">
      <t>キュウヨショトクシャ</t>
    </rPh>
    <phoneticPr fontId="2"/>
  </si>
  <si>
    <t>軽減判定用総所得</t>
    <rPh sb="0" eb="2">
      <t>ケイゲン</t>
    </rPh>
    <rPh sb="2" eb="4">
      <t>ハンテイ</t>
    </rPh>
    <rPh sb="4" eb="5">
      <t>ヨウ</t>
    </rPh>
    <rPh sb="5" eb="6">
      <t>ソウ</t>
    </rPh>
    <rPh sb="6" eb="8">
      <t>ショトク</t>
    </rPh>
    <phoneticPr fontId="2"/>
  </si>
  <si>
    <t>非自対応（ 所得＊0.3）：A</t>
    <rPh sb="0" eb="1">
      <t>ヒ</t>
    </rPh>
    <rPh sb="1" eb="2">
      <t>ジ</t>
    </rPh>
    <rPh sb="2" eb="4">
      <t>タイオウ</t>
    </rPh>
    <rPh sb="6" eb="8">
      <t>ショトク</t>
    </rPh>
    <phoneticPr fontId="2"/>
  </si>
  <si>
    <t>所得調整控除額：B</t>
    <rPh sb="0" eb="4">
      <t>ショトクチョウセイ</t>
    </rPh>
    <rPh sb="4" eb="7">
      <t>コウジョガク</t>
    </rPh>
    <phoneticPr fontId="2"/>
  </si>
  <si>
    <t>控除後　給与所得：A-B</t>
    <rPh sb="0" eb="3">
      <t>コウジョゴ</t>
    </rPh>
    <rPh sb="4" eb="6">
      <t>キュウヨ</t>
    </rPh>
    <rPh sb="6" eb="8">
      <t>ショトク</t>
    </rPh>
    <phoneticPr fontId="2"/>
  </si>
  <si>
    <t>割軽減</t>
    <rPh sb="0" eb="1">
      <t>ワ</t>
    </rPh>
    <rPh sb="1" eb="3">
      <t>ケイゲン</t>
    </rPh>
    <phoneticPr fontId="2"/>
  </si>
  <si>
    <t>総所得</t>
    <rPh sb="0" eb="1">
      <t>ソウ</t>
    </rPh>
    <rPh sb="1" eb="3">
      <t>ショトク</t>
    </rPh>
    <phoneticPr fontId="2"/>
  </si>
  <si>
    <r>
      <t xml:space="preserve">賦課所得
</t>
    </r>
    <r>
      <rPr>
        <b/>
        <sz val="8"/>
        <color theme="1"/>
        <rFont val="游ゴシック"/>
      </rPr>
      <t>(総所得-基礎控除43万)</t>
    </r>
    <rPh sb="0" eb="2">
      <t>フカ</t>
    </rPh>
    <rPh sb="2" eb="4">
      <t>ショトク</t>
    </rPh>
    <rPh sb="6" eb="9">
      <t>ソウショトク</t>
    </rPh>
    <rPh sb="10" eb="14">
      <t>キソコウジョ</t>
    </rPh>
    <rPh sb="16" eb="17">
      <t>マン</t>
    </rPh>
    <phoneticPr fontId="2"/>
  </si>
  <si>
    <r>
      <t>離職日時点の年齢が</t>
    </r>
    <r>
      <rPr>
        <sz val="11"/>
        <color rgb="FFFF0000"/>
        <rFont val="游ゴシック"/>
      </rPr>
      <t>64歳以下</t>
    </r>
    <r>
      <rPr>
        <sz val="11"/>
        <color theme="1"/>
        <rFont val="游ゴシック"/>
      </rPr>
      <t>で、雇用保険受給資格者証の離職理由コードが11・12・21・22・23・31・32・33・34に該当する方はチェックを入れてください。</t>
    </r>
    <rPh sb="0" eb="2">
      <t>リショク</t>
    </rPh>
    <rPh sb="2" eb="3">
      <t>ビ</t>
    </rPh>
    <rPh sb="3" eb="5">
      <t>ジテン</t>
    </rPh>
    <rPh sb="6" eb="8">
      <t>ネンレイ</t>
    </rPh>
    <rPh sb="11" eb="14">
      <t>サイイカ</t>
    </rPh>
    <rPh sb="16" eb="18">
      <t>コヨウ</t>
    </rPh>
    <rPh sb="18" eb="20">
      <t>ホケン</t>
    </rPh>
    <rPh sb="20" eb="22">
      <t>ジュキュウ</t>
    </rPh>
    <rPh sb="22" eb="25">
      <t>シカクシャ</t>
    </rPh>
    <rPh sb="25" eb="26">
      <t>ショウ</t>
    </rPh>
    <rPh sb="27" eb="29">
      <t>リショク</t>
    </rPh>
    <rPh sb="29" eb="31">
      <t>リユウ</t>
    </rPh>
    <rPh sb="62" eb="64">
      <t>ガイトウ</t>
    </rPh>
    <rPh sb="66" eb="67">
      <t>カタ</t>
    </rPh>
    <rPh sb="73" eb="74">
      <t>イ</t>
    </rPh>
    <phoneticPr fontId="2"/>
  </si>
  <si>
    <t>７割軽減</t>
    <rPh sb="1" eb="2">
      <t>ワリ</t>
    </rPh>
    <rPh sb="2" eb="4">
      <t>ケイゲン</t>
    </rPh>
    <phoneticPr fontId="2"/>
  </si>
  <si>
    <t>５割軽減</t>
    <rPh sb="1" eb="2">
      <t>ワリ</t>
    </rPh>
    <rPh sb="2" eb="4">
      <t>ケイゲン</t>
    </rPh>
    <phoneticPr fontId="2"/>
  </si>
  <si>
    <t>２割軽減</t>
    <rPh sb="1" eb="2">
      <t>ワリ</t>
    </rPh>
    <rPh sb="2" eb="4">
      <t>ケイゲン</t>
    </rPh>
    <phoneticPr fontId="2"/>
  </si>
  <si>
    <t>（上限</t>
    <rPh sb="1" eb="3">
      <t>ジョウゲン</t>
    </rPh>
    <phoneticPr fontId="2"/>
  </si>
  <si>
    <t>（上限</t>
  </si>
  <si>
    <t>加入人数</t>
    <rPh sb="0" eb="2">
      <t>カニュウ</t>
    </rPh>
    <rPh sb="2" eb="4">
      <t>ニンズウ</t>
    </rPh>
    <phoneticPr fontId="2"/>
  </si>
  <si>
    <t>子ども</t>
    <rPh sb="0" eb="1">
      <t>コ</t>
    </rPh>
    <phoneticPr fontId="2"/>
  </si>
  <si>
    <t>19歳～39歳</t>
    <rPh sb="2" eb="3">
      <t>サイ</t>
    </rPh>
    <rPh sb="6" eb="7">
      <t>サイ</t>
    </rPh>
    <phoneticPr fontId="2"/>
  </si>
  <si>
    <t>割</t>
    <rPh sb="0" eb="1">
      <t>ワリ</t>
    </rPh>
    <phoneticPr fontId="2"/>
  </si>
  <si>
    <t>（　(ア)＋(イ)＋(ウ)＋(エ)　）</t>
  </si>
  <si>
    <t>プルダウン用</t>
    <rPh sb="5" eb="6">
      <t>ヨウ</t>
    </rPh>
    <phoneticPr fontId="2"/>
  </si>
  <si>
    <t>所得・軽減判定の金額計算</t>
    <rPh sb="0" eb="2">
      <t>ショトク</t>
    </rPh>
    <rPh sb="3" eb="5">
      <t>ケイゲン</t>
    </rPh>
    <rPh sb="5" eb="7">
      <t>ハンテイ</t>
    </rPh>
    <rPh sb="8" eb="10">
      <t>キンガク</t>
    </rPh>
    <rPh sb="10" eb="12">
      <t>ケイサン</t>
    </rPh>
    <phoneticPr fontId="2"/>
  </si>
  <si>
    <t>人数計算</t>
    <rPh sb="0" eb="2">
      <t>ニンズウ</t>
    </rPh>
    <rPh sb="2" eb="4">
      <t>ケイサン</t>
    </rPh>
    <phoneticPr fontId="2"/>
  </si>
  <si>
    <r>
      <t>世帯主と加入者の</t>
    </r>
    <r>
      <rPr>
        <sz val="11"/>
        <color rgb="FFFF0000"/>
        <rFont val="游ゴシック"/>
      </rPr>
      <t>令和8年1月1日時点</t>
    </r>
    <r>
      <rPr>
        <sz val="11"/>
        <color theme="1"/>
        <rFont val="游ゴシック"/>
      </rPr>
      <t>の年齢を「65歳以上」「64歳以下」のどちらかから選択してください。</t>
    </r>
    <rPh sb="0" eb="3">
      <t>セタイヌシ</t>
    </rPh>
    <rPh sb="4" eb="7">
      <t>カニュウシャ</t>
    </rPh>
    <rPh sb="8" eb="10">
      <t>レイワ</t>
    </rPh>
    <rPh sb="11" eb="12">
      <t>ネン</t>
    </rPh>
    <rPh sb="13" eb="14">
      <t>ガツ</t>
    </rPh>
    <rPh sb="15" eb="16">
      <t>ニチ</t>
    </rPh>
    <rPh sb="16" eb="18">
      <t>ジテン</t>
    </rPh>
    <rPh sb="19" eb="21">
      <t>ネンレイ</t>
    </rPh>
    <rPh sb="25" eb="26">
      <t>サイ</t>
    </rPh>
    <rPh sb="26" eb="28">
      <t>イジョウ</t>
    </rPh>
    <rPh sb="32" eb="33">
      <t>サイ</t>
    </rPh>
    <rPh sb="33" eb="35">
      <t>イカ</t>
    </rPh>
    <rPh sb="43" eb="45">
      <t>センタク</t>
    </rPh>
    <phoneticPr fontId="2"/>
  </si>
  <si>
    <r>
      <t>世帯主及び加入者を</t>
    </r>
    <r>
      <rPr>
        <sz val="11"/>
        <color rgb="FFFF0000"/>
        <rFont val="游ゴシック"/>
      </rPr>
      <t>令和7年中</t>
    </r>
    <r>
      <rPr>
        <sz val="11"/>
        <color theme="1"/>
        <rFont val="游ゴシック"/>
      </rPr>
      <t>の収入金額等を入力してください。</t>
    </r>
    <rPh sb="0" eb="3">
      <t>セタイヌシ</t>
    </rPh>
    <rPh sb="3" eb="4">
      <t>オヨ</t>
    </rPh>
    <rPh sb="5" eb="8">
      <t>カニュウシャ</t>
    </rPh>
    <rPh sb="9" eb="11">
      <t>レイワ</t>
    </rPh>
    <rPh sb="12" eb="14">
      <t>ネンチュウ</t>
    </rPh>
    <rPh sb="15" eb="17">
      <t>シュウニュウ</t>
    </rPh>
    <rPh sb="17" eb="19">
      <t>キンガク</t>
    </rPh>
    <rPh sb="19" eb="20">
      <t>トウ</t>
    </rPh>
    <rPh sb="21" eb="23">
      <t>ニュウリョク</t>
    </rPh>
    <phoneticPr fontId="2"/>
  </si>
  <si>
    <t>給与収入金額</t>
    <rPh sb="0" eb="2">
      <t>キュウヨ</t>
    </rPh>
    <rPh sb="2" eb="4">
      <t>シュウニュウ</t>
    </rPh>
    <rPh sb="4" eb="6">
      <t>キンガク</t>
    </rPh>
    <phoneticPr fontId="2"/>
  </si>
  <si>
    <t xml:space="preserve">
公的年金等の収入金額（A）</t>
  </si>
  <si>
    <t>子ども分</t>
    <rPh sb="0" eb="1">
      <t>コ</t>
    </rPh>
    <rPh sb="3" eb="4">
      <t>ブン</t>
    </rPh>
    <phoneticPr fontId="2"/>
  </si>
  <si>
    <r>
      <t>4/1時点</t>
    </r>
    <r>
      <rPr>
        <b/>
        <sz val="11"/>
        <color theme="1"/>
        <rFont val="游ゴシック"/>
      </rPr>
      <t xml:space="preserve">
年齢区分</t>
    </r>
    <rPh sb="3" eb="5">
      <t>ジテン</t>
    </rPh>
    <rPh sb="6" eb="8">
      <t>ネンレイ</t>
    </rPh>
    <rPh sb="8" eb="10">
      <t>クブン</t>
    </rPh>
    <phoneticPr fontId="2"/>
  </si>
  <si>
    <r>
      <t>世帯主と加入者の</t>
    </r>
    <r>
      <rPr>
        <sz val="11"/>
        <color rgb="FFFF0000"/>
        <rFont val="游ゴシック"/>
      </rPr>
      <t>令和8年4月1日時点</t>
    </r>
    <r>
      <rPr>
        <sz val="11"/>
        <color theme="1"/>
        <rFont val="游ゴシック"/>
      </rPr>
      <t>の年齢を「75歳以上」「65歳～74歳」「40歳～64歳」「18歳～39歳」「6歳～17歳」「0歳～5歳」のいずれかから選択してください。</t>
    </r>
    <rPh sb="0" eb="3">
      <t>セタイヌシ</t>
    </rPh>
    <rPh sb="4" eb="7">
      <t>カニュウシャ</t>
    </rPh>
    <rPh sb="8" eb="10">
      <t>レイワ</t>
    </rPh>
    <rPh sb="11" eb="12">
      <t>ネン</t>
    </rPh>
    <rPh sb="13" eb="14">
      <t>ガツ</t>
    </rPh>
    <rPh sb="15" eb="16">
      <t>ニチ</t>
    </rPh>
    <rPh sb="16" eb="18">
      <t>ジテン</t>
    </rPh>
    <rPh sb="19" eb="21">
      <t>ネンレイ</t>
    </rPh>
    <rPh sb="25" eb="26">
      <t>サイ</t>
    </rPh>
    <rPh sb="26" eb="28">
      <t>イジョウ</t>
    </rPh>
    <rPh sb="50" eb="51">
      <t>サイ</t>
    </rPh>
    <rPh sb="54" eb="55">
      <t>サイ</t>
    </rPh>
    <rPh sb="58" eb="59">
      <t>サイ</t>
    </rPh>
    <rPh sb="62" eb="63">
      <t>サイ</t>
    </rPh>
    <rPh sb="66" eb="67">
      <t>サイ</t>
    </rPh>
    <rPh sb="69" eb="70">
      <t>サイ</t>
    </rPh>
    <rPh sb="78" eb="80">
      <t>センタク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</si>
</sst>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&quot;円&quot;"/>
    <numFmt numFmtId="177" formatCode="#,##0;&quot;▲ &quot;#,##0&quot;円&quot;"/>
    <numFmt numFmtId="178" formatCode="#,##0_ "/>
  </numFmts>
  <fonts count="1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rgb="FFFF0000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  <font>
      <b/>
      <sz val="12"/>
      <color rgb="FFFF0000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b/>
      <sz val="11"/>
      <color rgb="FFFF0000"/>
      <name val="游ゴシック"/>
      <family val="3"/>
      <scheme val="minor"/>
    </font>
    <font>
      <sz val="11"/>
      <color theme="1"/>
      <name val="游ゴシック"/>
      <family val="3"/>
      <scheme val="minor"/>
    </font>
    <font>
      <b/>
      <sz val="14"/>
      <color rgb="FFFF0000"/>
      <name val="游ゴシック"/>
      <family val="3"/>
      <scheme val="minor"/>
    </font>
    <font>
      <b/>
      <sz val="20"/>
      <color theme="1"/>
      <name val="游ゴシック"/>
      <family val="3"/>
      <scheme val="minor"/>
    </font>
    <font>
      <sz val="12"/>
      <color auto="1"/>
      <name val="游ゴシック"/>
      <family val="3"/>
      <scheme val="minor"/>
    </font>
    <font>
      <b/>
      <sz val="9"/>
      <color rgb="FFFF0000"/>
      <name val="游ゴシック"/>
      <family val="3"/>
      <scheme val="minor"/>
    </font>
    <font>
      <sz val="12"/>
      <color theme="1" tint="0.25"/>
      <name val="游ゴシック"/>
      <family val="3"/>
      <scheme val="minor"/>
    </font>
    <font>
      <b/>
      <sz val="9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0" tint="-5.e-00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BE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</cellStyleXfs>
  <cellXfs count="25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5" fillId="2" borderId="4" xfId="0" applyFont="1" applyFill="1" applyBorder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176" fontId="9" fillId="3" borderId="1" xfId="3" applyNumberFormat="1" applyFont="1" applyFill="1" applyBorder="1" applyAlignment="1">
      <alignment horizontal="right" vertical="center" indent="2"/>
    </xf>
    <xf numFmtId="176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177" fontId="9" fillId="3" borderId="16" xfId="0" applyNumberFormat="1" applyFont="1" applyFill="1" applyBorder="1" applyAlignment="1">
      <alignment horizontal="right" vertical="center" indent="2"/>
    </xf>
    <xf numFmtId="0" fontId="5" fillId="3" borderId="1" xfId="0" applyFont="1" applyFill="1" applyBorder="1" applyAlignment="1">
      <alignment horizontal="right"/>
    </xf>
    <xf numFmtId="176" fontId="9" fillId="3" borderId="4" xfId="3" applyNumberFormat="1" applyFont="1" applyFill="1" applyBorder="1" applyAlignment="1">
      <alignment horizontal="right" vertical="center" indent="2"/>
    </xf>
    <xf numFmtId="176" fontId="12" fillId="0" borderId="0" xfId="3" applyNumberFormat="1" applyFont="1" applyFill="1" applyAlignment="1">
      <alignment horizontal="right" vertical="center" indent="2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Alignment="1">
      <alignment vertical="center" wrapText="1"/>
    </xf>
    <xf numFmtId="0" fontId="6" fillId="3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176" fontId="9" fillId="3" borderId="19" xfId="3" applyNumberFormat="1" applyFont="1" applyFill="1" applyBorder="1" applyAlignment="1">
      <alignment horizontal="right" vertical="center" indent="2"/>
    </xf>
    <xf numFmtId="176" fontId="5" fillId="3" borderId="19" xfId="0" applyNumberFormat="1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right"/>
    </xf>
    <xf numFmtId="0" fontId="8" fillId="4" borderId="20" xfId="0" applyFont="1" applyFill="1" applyBorder="1" applyAlignment="1">
      <alignment horizontal="right" vertical="center"/>
    </xf>
    <xf numFmtId="0" fontId="8" fillId="4" borderId="21" xfId="0" applyFont="1" applyFill="1" applyBorder="1" applyAlignment="1">
      <alignment horizontal="righ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76" fontId="5" fillId="2" borderId="4" xfId="3" applyNumberFormat="1" applyFont="1" applyFill="1" applyBorder="1" applyAlignment="1" applyProtection="1">
      <alignment horizontal="right" vertical="center" indent="1"/>
      <protection locked="0"/>
    </xf>
    <xf numFmtId="10" fontId="5" fillId="3" borderId="19" xfId="0" applyNumberFormat="1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38" fontId="5" fillId="3" borderId="19" xfId="0" applyNumberFormat="1" applyFont="1" applyFill="1" applyBorder="1" applyAlignment="1">
      <alignment horizontal="center"/>
    </xf>
    <xf numFmtId="38" fontId="13" fillId="4" borderId="13" xfId="3" applyFont="1" applyFill="1" applyBorder="1" applyAlignment="1">
      <alignment horizontal="right" vertical="center" indent="3"/>
    </xf>
    <xf numFmtId="38" fontId="13" fillId="4" borderId="14" xfId="3" applyFont="1" applyFill="1" applyBorder="1" applyAlignment="1">
      <alignment horizontal="right" vertical="center" indent="3"/>
    </xf>
    <xf numFmtId="0" fontId="5" fillId="3" borderId="22" xfId="0" applyFont="1" applyFill="1" applyBorder="1">
      <alignment vertical="center"/>
    </xf>
    <xf numFmtId="176" fontId="9" fillId="3" borderId="22" xfId="3" applyNumberFormat="1" applyFont="1" applyFill="1" applyBorder="1" applyAlignment="1">
      <alignment horizontal="right" vertical="center" indent="2"/>
    </xf>
    <xf numFmtId="176" fontId="5" fillId="3" borderId="22" xfId="0" applyNumberFormat="1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/>
    </xf>
    <xf numFmtId="38" fontId="13" fillId="4" borderId="17" xfId="3" applyFont="1" applyFill="1" applyBorder="1" applyAlignment="1">
      <alignment horizontal="right" vertical="center" indent="3"/>
    </xf>
    <xf numFmtId="38" fontId="13" fillId="4" borderId="18" xfId="3" applyFont="1" applyFill="1" applyBorder="1" applyAlignment="1">
      <alignment horizontal="right" vertical="center" indent="3"/>
    </xf>
    <xf numFmtId="0" fontId="6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right" vertical="center"/>
    </xf>
    <xf numFmtId="176" fontId="9" fillId="6" borderId="4" xfId="3" applyNumberFormat="1" applyFont="1" applyFill="1" applyBorder="1" applyAlignment="1">
      <alignment horizontal="right" vertical="center" indent="2"/>
    </xf>
    <xf numFmtId="176" fontId="5" fillId="6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177" fontId="9" fillId="6" borderId="16" xfId="0" applyNumberFormat="1" applyFont="1" applyFill="1" applyBorder="1" applyAlignment="1">
      <alignment horizontal="right" vertical="center" indent="2"/>
    </xf>
    <xf numFmtId="0" fontId="5" fillId="6" borderId="1" xfId="0" applyFont="1" applyFill="1" applyBorder="1" applyAlignment="1">
      <alignment horizontal="right"/>
    </xf>
    <xf numFmtId="176" fontId="15" fillId="0" borderId="0" xfId="3" applyNumberFormat="1" applyFont="1" applyFill="1" applyBorder="1" applyAlignment="1">
      <alignment horizontal="left" vertical="center" wrapText="1"/>
    </xf>
    <xf numFmtId="38" fontId="13" fillId="4" borderId="20" xfId="3" applyFont="1" applyFill="1" applyBorder="1" applyAlignment="1">
      <alignment horizontal="right" vertical="center" indent="3"/>
    </xf>
    <xf numFmtId="38" fontId="13" fillId="4" borderId="21" xfId="3" applyFont="1" applyFill="1" applyBorder="1" applyAlignment="1">
      <alignment horizontal="right" vertical="center" indent="3"/>
    </xf>
    <xf numFmtId="0" fontId="6" fillId="6" borderId="19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176" fontId="5" fillId="6" borderId="19" xfId="0" applyNumberFormat="1" applyFont="1" applyFill="1" applyBorder="1" applyAlignment="1">
      <alignment horizontal="left" vertical="center"/>
    </xf>
    <xf numFmtId="0" fontId="5" fillId="6" borderId="19" xfId="0" applyFont="1" applyFill="1" applyBorder="1" applyAlignment="1">
      <alignment horizontal="right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10" fontId="14" fillId="6" borderId="19" xfId="0" applyNumberFormat="1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/>
    </xf>
    <xf numFmtId="0" fontId="0" fillId="0" borderId="25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6" fillId="6" borderId="22" xfId="0" applyFont="1" applyFill="1" applyBorder="1" applyAlignment="1">
      <alignment horizontal="center" vertical="center"/>
    </xf>
    <xf numFmtId="0" fontId="14" fillId="6" borderId="22" xfId="0" applyFont="1" applyFill="1" applyBorder="1">
      <alignment vertical="center"/>
    </xf>
    <xf numFmtId="0" fontId="5" fillId="6" borderId="22" xfId="0" applyFont="1" applyFill="1" applyBorder="1">
      <alignment vertical="center"/>
    </xf>
    <xf numFmtId="176" fontId="5" fillId="6" borderId="22" xfId="0" applyNumberFormat="1" applyFont="1" applyFill="1" applyBorder="1" applyAlignment="1">
      <alignment horizontal="left" vertical="center"/>
    </xf>
    <xf numFmtId="0" fontId="5" fillId="6" borderId="22" xfId="0" applyFont="1" applyFill="1" applyBorder="1" applyAlignment="1">
      <alignment horizontal="left"/>
    </xf>
    <xf numFmtId="0" fontId="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6" fillId="7" borderId="4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right" vertical="center"/>
    </xf>
    <xf numFmtId="176" fontId="9" fillId="7" borderId="4" xfId="3" applyNumberFormat="1" applyFont="1" applyFill="1" applyBorder="1" applyAlignment="1">
      <alignment horizontal="right" vertical="center" indent="2"/>
    </xf>
    <xf numFmtId="176" fontId="5" fillId="7" borderId="1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center" vertical="center"/>
    </xf>
    <xf numFmtId="177" fontId="9" fillId="7" borderId="16" xfId="0" applyNumberFormat="1" applyFont="1" applyFill="1" applyBorder="1" applyAlignment="1">
      <alignment horizontal="right" vertical="center" indent="2"/>
    </xf>
    <xf numFmtId="0" fontId="5" fillId="7" borderId="1" xfId="0" applyFont="1" applyFill="1" applyBorder="1" applyAlignment="1">
      <alignment horizontal="right"/>
    </xf>
    <xf numFmtId="0" fontId="14" fillId="7" borderId="19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176" fontId="5" fillId="7" borderId="19" xfId="0" applyNumberFormat="1" applyFont="1" applyFill="1" applyBorder="1" applyAlignment="1">
      <alignment horizontal="left" vertical="center"/>
    </xf>
    <xf numFmtId="0" fontId="5" fillId="7" borderId="19" xfId="0" applyFont="1" applyFill="1" applyBorder="1" applyAlignment="1">
      <alignment horizontal="right"/>
    </xf>
    <xf numFmtId="176" fontId="5" fillId="0" borderId="4" xfId="3" applyNumberFormat="1" applyFont="1" applyBorder="1" applyAlignment="1">
      <alignment horizontal="right" vertical="center" indent="1"/>
    </xf>
    <xf numFmtId="10" fontId="14" fillId="7" borderId="19" xfId="0" applyNumberFormat="1" applyFont="1" applyFill="1" applyBorder="1" applyAlignment="1">
      <alignment horizontal="left" vertical="center"/>
    </xf>
    <xf numFmtId="0" fontId="7" fillId="7" borderId="19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/>
    </xf>
    <xf numFmtId="176" fontId="12" fillId="0" borderId="7" xfId="3" applyNumberFormat="1" applyFont="1" applyFill="1" applyBorder="1" applyAlignment="1">
      <alignment horizontal="right" vertical="center" indent="2"/>
    </xf>
    <xf numFmtId="0" fontId="14" fillId="7" borderId="22" xfId="0" applyFont="1" applyFill="1" applyBorder="1">
      <alignment vertical="center"/>
    </xf>
    <xf numFmtId="0" fontId="5" fillId="7" borderId="22" xfId="0" applyFont="1" applyFill="1" applyBorder="1">
      <alignment vertical="center"/>
    </xf>
    <xf numFmtId="176" fontId="5" fillId="7" borderId="22" xfId="0" applyNumberFormat="1" applyFont="1" applyFill="1" applyBorder="1" applyAlignment="1">
      <alignment horizontal="left" vertical="center"/>
    </xf>
    <xf numFmtId="0" fontId="5" fillId="7" borderId="22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76" fontId="9" fillId="8" borderId="4" xfId="3" applyNumberFormat="1" applyFont="1" applyFill="1" applyBorder="1" applyAlignment="1">
      <alignment horizontal="right" vertical="center" indent="2"/>
    </xf>
    <xf numFmtId="176" fontId="5" fillId="8" borderId="1" xfId="0" applyNumberFormat="1" applyFont="1" applyFill="1" applyBorder="1" applyAlignment="1">
      <alignment horizontal="right" vertical="center"/>
    </xf>
    <xf numFmtId="176" fontId="9" fillId="8" borderId="1" xfId="0" applyNumberFormat="1" applyFont="1" applyFill="1" applyBorder="1" applyAlignment="1">
      <alignment horizontal="right" vertical="center" indent="1"/>
    </xf>
    <xf numFmtId="0" fontId="5" fillId="8" borderId="1" xfId="0" applyFont="1" applyFill="1" applyBorder="1" applyAlignment="1">
      <alignment horizontal="right" vertical="center"/>
    </xf>
    <xf numFmtId="177" fontId="9" fillId="8" borderId="16" xfId="0" applyNumberFormat="1" applyFont="1" applyFill="1" applyBorder="1" applyAlignment="1">
      <alignment horizontal="right" vertical="center" indent="2"/>
    </xf>
    <xf numFmtId="0" fontId="5" fillId="8" borderId="19" xfId="0" applyFont="1" applyFill="1" applyBorder="1" applyAlignment="1">
      <alignment horizontal="center" vertical="center"/>
    </xf>
    <xf numFmtId="0" fontId="5" fillId="8" borderId="19" xfId="0" applyFont="1" applyFill="1" applyBorder="1">
      <alignment vertical="center"/>
    </xf>
    <xf numFmtId="176" fontId="9" fillId="8" borderId="19" xfId="0" applyNumberFormat="1" applyFont="1" applyFill="1" applyBorder="1" applyAlignment="1">
      <alignment horizontal="right" vertical="center" indent="1"/>
    </xf>
    <xf numFmtId="176" fontId="5" fillId="8" borderId="19" xfId="0" applyNumberFormat="1" applyFont="1" applyFill="1" applyBorder="1" applyAlignment="1">
      <alignment horizontal="left" vertical="center"/>
    </xf>
    <xf numFmtId="0" fontId="5" fillId="8" borderId="19" xfId="0" applyFont="1" applyFill="1" applyBorder="1" applyAlignment="1">
      <alignment horizontal="right" vertical="center"/>
    </xf>
    <xf numFmtId="10" fontId="5" fillId="8" borderId="19" xfId="0" applyNumberFormat="1" applyFont="1" applyFill="1" applyBorder="1" applyAlignment="1">
      <alignment vertical="center"/>
    </xf>
    <xf numFmtId="0" fontId="7" fillId="8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vertical="center"/>
    </xf>
    <xf numFmtId="176" fontId="9" fillId="8" borderId="22" xfId="0" applyNumberFormat="1" applyFont="1" applyFill="1" applyBorder="1" applyAlignment="1">
      <alignment horizontal="right" vertical="center" indent="1"/>
    </xf>
    <xf numFmtId="176" fontId="5" fillId="8" borderId="22" xfId="0" applyNumberFormat="1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0" fillId="0" borderId="29" xfId="0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5" xfId="0" applyBorder="1">
      <alignment vertical="center"/>
    </xf>
    <xf numFmtId="0" fontId="0" fillId="0" borderId="16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7" fillId="0" borderId="29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0" fontId="0" fillId="0" borderId="26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0" fontId="0" fillId="9" borderId="4" xfId="4" applyNumberFormat="1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178" fontId="0" fillId="0" borderId="1" xfId="0" applyNumberFormat="1" applyBorder="1">
      <alignment vertical="center"/>
    </xf>
    <xf numFmtId="178" fontId="0" fillId="0" borderId="0" xfId="0" applyNumberFormat="1">
      <alignment vertical="center"/>
    </xf>
    <xf numFmtId="0" fontId="0" fillId="2" borderId="0" xfId="0" applyFill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38" xfId="0" applyFont="1" applyBorder="1">
      <alignment vertical="center"/>
    </xf>
    <xf numFmtId="0" fontId="0" fillId="0" borderId="4" xfId="0" applyBorder="1" applyAlignment="1">
      <alignment horizontal="center" vertical="center" wrapText="1"/>
    </xf>
    <xf numFmtId="38" fontId="0" fillId="0" borderId="4" xfId="3" applyFont="1" applyBorder="1">
      <alignment vertical="center"/>
    </xf>
    <xf numFmtId="0" fontId="0" fillId="0" borderId="20" xfId="0" applyFont="1" applyBorder="1" applyAlignment="1">
      <alignment horizontal="center" vertical="center"/>
    </xf>
    <xf numFmtId="38" fontId="0" fillId="9" borderId="1" xfId="3" applyFont="1" applyFill="1" applyBorder="1" applyAlignment="1">
      <alignment horizontal="center" vertical="center"/>
    </xf>
    <xf numFmtId="38" fontId="0" fillId="9" borderId="4" xfId="3" applyFont="1" applyFill="1" applyBorder="1" applyAlignment="1">
      <alignment horizontal="center" vertical="center"/>
    </xf>
    <xf numFmtId="0" fontId="0" fillId="0" borderId="43" xfId="0" applyBorder="1">
      <alignment vertical="center"/>
    </xf>
    <xf numFmtId="3" fontId="0" fillId="0" borderId="4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178" fontId="0" fillId="0" borderId="19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38" fontId="0" fillId="2" borderId="0" xfId="0" applyNumberFormat="1" applyFill="1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38" fontId="0" fillId="0" borderId="4" xfId="3" applyFont="1" applyFill="1" applyBorder="1" applyProtection="1">
      <alignment vertical="center"/>
      <protection locked="0"/>
    </xf>
    <xf numFmtId="0" fontId="0" fillId="0" borderId="13" xfId="0" applyFont="1" applyBorder="1" applyAlignment="1">
      <alignment horizontal="center" vertical="center"/>
    </xf>
    <xf numFmtId="38" fontId="0" fillId="9" borderId="22" xfId="3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38" fontId="0" fillId="2" borderId="22" xfId="3" applyFont="1" applyFill="1" applyBorder="1">
      <alignment vertical="center"/>
    </xf>
    <xf numFmtId="38" fontId="0" fillId="9" borderId="21" xfId="3" applyFont="1" applyFill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8" fillId="0" borderId="0" xfId="0" applyFont="1" applyAlignment="1">
      <alignment horizontal="right" vertical="center"/>
    </xf>
    <xf numFmtId="0" fontId="0" fillId="0" borderId="22" xfId="0" applyBorder="1" applyAlignment="1">
      <alignment horizontal="center" vertical="center" wrapText="1"/>
    </xf>
    <xf numFmtId="178" fontId="0" fillId="0" borderId="22" xfId="0" applyNumberFormat="1" applyFont="1" applyBorder="1" applyAlignment="1">
      <alignment horizontal="center" vertical="center"/>
    </xf>
    <xf numFmtId="178" fontId="0" fillId="0" borderId="22" xfId="0" applyNumberFormat="1" applyBorder="1">
      <alignment vertical="center"/>
    </xf>
    <xf numFmtId="0" fontId="0" fillId="2" borderId="4" xfId="0" applyFill="1" applyBorder="1" applyAlignment="1">
      <alignment horizontal="center" vertical="center"/>
    </xf>
    <xf numFmtId="38" fontId="0" fillId="2" borderId="4" xfId="3" applyFont="1" applyFill="1" applyBorder="1">
      <alignment vertical="center"/>
    </xf>
    <xf numFmtId="38" fontId="0" fillId="2" borderId="1" xfId="3" applyFont="1" applyFill="1" applyBorder="1">
      <alignment vertical="center"/>
    </xf>
    <xf numFmtId="0" fontId="8" fillId="10" borderId="4" xfId="0" applyFont="1" applyFill="1" applyBorder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38" fontId="0" fillId="9" borderId="48" xfId="3" applyFont="1" applyFill="1" applyBorder="1" applyAlignment="1">
      <alignment horizontal="center" vertical="center"/>
    </xf>
    <xf numFmtId="38" fontId="0" fillId="9" borderId="49" xfId="3" applyFont="1" applyFill="1" applyBorder="1" applyAlignment="1">
      <alignment horizontal="center" vertical="center"/>
    </xf>
    <xf numFmtId="38" fontId="0" fillId="9" borderId="24" xfId="3" applyFont="1" applyFill="1" applyBorder="1" applyAlignment="1">
      <alignment horizontal="center" vertical="center"/>
    </xf>
    <xf numFmtId="38" fontId="0" fillId="0" borderId="0" xfId="3" applyFont="1" applyFill="1" applyBorder="1" applyAlignment="1">
      <alignment horizontal="center" vertical="center"/>
    </xf>
    <xf numFmtId="38" fontId="0" fillId="2" borderId="4" xfId="3" applyFont="1" applyFill="1" applyBorder="1" applyAlignment="1">
      <alignment horizontal="right" vertical="center"/>
    </xf>
    <xf numFmtId="38" fontId="0" fillId="0" borderId="4" xfId="0" applyNumberFormat="1" applyBorder="1" applyAlignment="1">
      <alignment horizontal="right" vertical="center"/>
    </xf>
    <xf numFmtId="38" fontId="0" fillId="10" borderId="4" xfId="3" applyFont="1" applyFill="1" applyBorder="1">
      <alignment vertical="center"/>
    </xf>
    <xf numFmtId="38" fontId="0" fillId="0" borderId="0" xfId="3" applyFont="1" applyFill="1" applyBorder="1">
      <alignment vertical="center"/>
    </xf>
    <xf numFmtId="0" fontId="0" fillId="0" borderId="19" xfId="0" applyBorder="1">
      <alignment vertical="center"/>
    </xf>
    <xf numFmtId="0" fontId="0" fillId="10" borderId="0" xfId="0" applyFill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10" borderId="7" xfId="0" applyFill="1" applyBorder="1">
      <alignment vertical="center"/>
    </xf>
    <xf numFmtId="38" fontId="0" fillId="10" borderId="4" xfId="3" applyFont="1" applyFill="1" applyBorder="1" applyAlignment="1">
      <alignment horizontal="right" vertical="center"/>
    </xf>
    <xf numFmtId="38" fontId="0" fillId="0" borderId="45" xfId="3" applyFont="1" applyBorder="1">
      <alignment vertical="center"/>
    </xf>
    <xf numFmtId="0" fontId="0" fillId="10" borderId="45" xfId="0" applyFill="1" applyBorder="1">
      <alignment vertical="center"/>
    </xf>
    <xf numFmtId="38" fontId="8" fillId="10" borderId="4" xfId="0" applyNumberFormat="1" applyFont="1" applyFill="1" applyBorder="1">
      <alignment vertical="center"/>
    </xf>
    <xf numFmtId="0" fontId="0" fillId="0" borderId="4" xfId="0" applyBorder="1" applyAlignment="1">
      <alignment horizontal="right" vertical="center"/>
    </xf>
    <xf numFmtId="0" fontId="8" fillId="10" borderId="4" xfId="0" applyFont="1" applyFill="1" applyBorder="1" applyAlignment="1">
      <alignment horizontal="center" vertical="center"/>
    </xf>
    <xf numFmtId="38" fontId="8" fillId="10" borderId="1" xfId="0" applyNumberFormat="1" applyFont="1" applyFill="1" applyBorder="1" applyAlignment="1">
      <alignment horizontal="right" vertical="center" indent="1"/>
    </xf>
    <xf numFmtId="0" fontId="17" fillId="1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 indent="1"/>
    </xf>
    <xf numFmtId="0" fontId="8" fillId="10" borderId="48" xfId="0" applyFont="1" applyFill="1" applyBorder="1" applyAlignment="1">
      <alignment horizontal="center" vertical="center"/>
    </xf>
    <xf numFmtId="38" fontId="8" fillId="10" borderId="49" xfId="0" applyNumberFormat="1" applyFont="1" applyFill="1" applyBorder="1" applyAlignment="1">
      <alignment horizontal="right" vertical="center" indent="1"/>
    </xf>
    <xf numFmtId="0" fontId="17" fillId="10" borderId="48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right" vertical="center" indent="1"/>
    </xf>
    <xf numFmtId="0" fontId="0" fillId="0" borderId="45" xfId="0" applyFont="1" applyBorder="1">
      <alignment vertical="center"/>
    </xf>
    <xf numFmtId="38" fontId="0" fillId="0" borderId="0" xfId="0" applyNumberFormat="1">
      <alignment vertical="center"/>
    </xf>
  </cellXfs>
  <cellStyles count="5">
    <cellStyle name="桁区切り 2" xfId="1"/>
    <cellStyle name="標準" xfId="0" builtinId="0"/>
    <cellStyle name="標準 2" xfId="2"/>
    <cellStyle name="桁区切り" xfId="3" builtinId="6"/>
    <cellStyle name="パーセント" xfId="4" builtinId="5"/>
  </cellStyles>
  <tableStyles count="0" defaultTableStyle="TableStyleMedium2" defaultPivotStyle="PivotStyleLight16"/>
  <colors>
    <mruColors>
      <color rgb="FFD4A0FF"/>
      <color rgb="FFFFCCCC"/>
      <color rgb="FFFFCCFF"/>
      <color rgb="FFFFDDFF"/>
      <color rgb="FFFFE5E5"/>
      <color rgb="FFF5C9FF"/>
      <color rgb="FFE4FCC8"/>
      <color rgb="FFFFFF99"/>
      <color rgb="FFFFDDEC"/>
      <color rgb="FF66CC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fmlaLink="計算!$C$74" lockText="1" noThreeD="1"/>
</file>

<file path=xl/ctrlProps/ctrlProp2.xml><?xml version="1.0" encoding="utf-8"?>
<formControlPr xmlns="http://schemas.microsoft.com/office/spreadsheetml/2009/9/main" objectType="CheckBox" fmlaLink="計算!$C$75" noThreeD="1"/>
</file>

<file path=xl/ctrlProps/ctrlProp3.xml><?xml version="1.0" encoding="utf-8"?>
<formControlPr xmlns="http://schemas.microsoft.com/office/spreadsheetml/2009/9/main" objectType="CheckBox" checked="Checked" fmlaLink="計算!$C$76" noThreeD="1"/>
</file>

<file path=xl/ctrlProps/ctrlProp4.xml><?xml version="1.0" encoding="utf-8"?>
<formControlPr xmlns="http://schemas.microsoft.com/office/spreadsheetml/2009/9/main" objectType="CheckBox" fmlaLink="計算!$C$77" noThreeD="1"/>
</file>

<file path=xl/ctrlProps/ctrlProp5.xml><?xml version="1.0" encoding="utf-8"?>
<formControlPr xmlns="http://schemas.microsoft.com/office/spreadsheetml/2009/9/main" objectType="CheckBox" fmlaLink="計算!$C$78" noThreeD="1"/>
</file>

<file path=xl/ctrlProps/ctrlProp6.xml><?xml version="1.0" encoding="utf-8"?>
<formControlPr xmlns="http://schemas.microsoft.com/office/spreadsheetml/2009/9/main" objectType="CheckBox" fmlaLink="計算!$C$79" noThreeD="1"/>
</file>

<file path=xl/ctrlProps/ctrlProp7.xml><?xml version="1.0" encoding="utf-8"?>
<formControlPr xmlns="http://schemas.microsoft.com/office/spreadsheetml/2009/9/main" objectType="CheckBox" fmlaLink="計算!$C$80" noThreeD="1"/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104775</xdr:colOff>
      <xdr:row>1</xdr:row>
      <xdr:rowOff>113665</xdr:rowOff>
    </xdr:from>
    <xdr:to xmlns:xdr="http://schemas.openxmlformats.org/drawingml/2006/spreadsheetDrawing">
      <xdr:col>13</xdr:col>
      <xdr:colOff>418465</xdr:colOff>
      <xdr:row>4</xdr:row>
      <xdr:rowOff>57150</xdr:rowOff>
    </xdr:to>
    <xdr:sp macro="" textlink="">
      <xdr:nvSpPr>
        <xdr:cNvPr id="2" name="四角形: 角を丸くする 1"/>
        <xdr:cNvSpPr/>
      </xdr:nvSpPr>
      <xdr:spPr>
        <a:xfrm>
          <a:off x="561975" y="618490"/>
          <a:ext cx="6390640" cy="657860"/>
        </a:xfrm>
        <a:prstGeom prst="roundRect">
          <a:avLst>
            <a:gd name="adj" fmla="val 35508"/>
          </a:avLst>
        </a:prstGeom>
        <a:solidFill>
          <a:srgbClr val="FF99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>
              <a:latin typeface="メイリオ"/>
              <a:ea typeface="メイリオ"/>
            </a:rPr>
            <a:t>令和８年度国民健康保険料　試算シート　</a:t>
          </a:r>
          <a:endParaRPr kumimoji="1" lang="ja-JP" altLang="en-US" sz="2000" b="1">
            <a:latin typeface="メイリオ"/>
            <a:ea typeface="メイリオ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176530</xdr:colOff>
          <xdr:row>52</xdr:row>
          <xdr:rowOff>0</xdr:rowOff>
        </xdr:from>
        <xdr:to xmlns:xdr="http://schemas.openxmlformats.org/drawingml/2006/spreadsheetDrawing">
          <xdr:col>20</xdr:col>
          <xdr:colOff>22225</xdr:colOff>
          <xdr:row>52</xdr:row>
          <xdr:rowOff>247650</xdr:rowOff>
        </xdr:to>
        <xdr:sp textlink="">
          <xdr:nvSpPr>
            <xdr:cNvPr id="2062" name="チェック 14" hidden="1">
              <a:extLst>
                <a:ext uri="{63B3BB69-23CF-44E3-9099-C40C66FF867C}">
                  <a14:compatExt spid="_x0000_s2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406255" y="12944475"/>
              <a:ext cx="350520" cy="24765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176530</xdr:colOff>
          <xdr:row>53</xdr:row>
          <xdr:rowOff>0</xdr:rowOff>
        </xdr:from>
        <xdr:to xmlns:xdr="http://schemas.openxmlformats.org/drawingml/2006/spreadsheetDrawing">
          <xdr:col>20</xdr:col>
          <xdr:colOff>22225</xdr:colOff>
          <xdr:row>53</xdr:row>
          <xdr:rowOff>238125</xdr:rowOff>
        </xdr:to>
        <xdr:sp textlink="">
          <xdr:nvSpPr>
            <xdr:cNvPr id="2063" name="チェック 15" hidden="1">
              <a:extLst>
                <a:ext uri="{63B3BB69-23CF-44E3-9099-C40C66FF867C}">
                  <a14:compatExt spid="_x0000_s2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406255" y="13249275"/>
              <a:ext cx="35052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176530</xdr:colOff>
          <xdr:row>54</xdr:row>
          <xdr:rowOff>0</xdr:rowOff>
        </xdr:from>
        <xdr:to xmlns:xdr="http://schemas.openxmlformats.org/drawingml/2006/spreadsheetDrawing">
          <xdr:col>20</xdr:col>
          <xdr:colOff>22225</xdr:colOff>
          <xdr:row>54</xdr:row>
          <xdr:rowOff>238125</xdr:rowOff>
        </xdr:to>
        <xdr:sp textlink="">
          <xdr:nvSpPr>
            <xdr:cNvPr id="2064" name="チェック 16" hidden="1">
              <a:extLst>
                <a:ext uri="{63B3BB69-23CF-44E3-9099-C40C66FF867C}">
                  <a14:compatExt spid="_x0000_s20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406255" y="13554075"/>
              <a:ext cx="35052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176530</xdr:colOff>
          <xdr:row>55</xdr:row>
          <xdr:rowOff>0</xdr:rowOff>
        </xdr:from>
        <xdr:to xmlns:xdr="http://schemas.openxmlformats.org/drawingml/2006/spreadsheetDrawing">
          <xdr:col>20</xdr:col>
          <xdr:colOff>22225</xdr:colOff>
          <xdr:row>55</xdr:row>
          <xdr:rowOff>238125</xdr:rowOff>
        </xdr:to>
        <xdr:sp textlink="">
          <xdr:nvSpPr>
            <xdr:cNvPr id="2065" name="チェック 17" hidden="1">
              <a:extLst>
                <a:ext uri="{63B3BB69-23CF-44E3-9099-C40C66FF867C}">
                  <a14:compatExt spid="_x0000_s2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406255" y="13858875"/>
              <a:ext cx="35052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176530</xdr:colOff>
          <xdr:row>56</xdr:row>
          <xdr:rowOff>0</xdr:rowOff>
        </xdr:from>
        <xdr:to xmlns:xdr="http://schemas.openxmlformats.org/drawingml/2006/spreadsheetDrawing">
          <xdr:col>20</xdr:col>
          <xdr:colOff>22225</xdr:colOff>
          <xdr:row>56</xdr:row>
          <xdr:rowOff>238125</xdr:rowOff>
        </xdr:to>
        <xdr:sp textlink="">
          <xdr:nvSpPr>
            <xdr:cNvPr id="2066" name="チェック 18" hidden="1">
              <a:extLst>
                <a:ext uri="{63B3BB69-23CF-44E3-9099-C40C66FF867C}">
                  <a14:compatExt spid="_x0000_s20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406255" y="14163675"/>
              <a:ext cx="35052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176530</xdr:colOff>
          <xdr:row>57</xdr:row>
          <xdr:rowOff>0</xdr:rowOff>
        </xdr:from>
        <xdr:to xmlns:xdr="http://schemas.openxmlformats.org/drawingml/2006/spreadsheetDrawing">
          <xdr:col>20</xdr:col>
          <xdr:colOff>22225</xdr:colOff>
          <xdr:row>57</xdr:row>
          <xdr:rowOff>238125</xdr:rowOff>
        </xdr:to>
        <xdr:sp textlink="">
          <xdr:nvSpPr>
            <xdr:cNvPr id="2067" name="チェック 19" hidden="1">
              <a:extLst>
                <a:ext uri="{63B3BB69-23CF-44E3-9099-C40C66FF867C}">
                  <a14:compatExt spid="_x0000_s2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406255" y="14468475"/>
              <a:ext cx="35052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176530</xdr:colOff>
          <xdr:row>58</xdr:row>
          <xdr:rowOff>0</xdr:rowOff>
        </xdr:from>
        <xdr:to xmlns:xdr="http://schemas.openxmlformats.org/drawingml/2006/spreadsheetDrawing">
          <xdr:col>20</xdr:col>
          <xdr:colOff>22225</xdr:colOff>
          <xdr:row>58</xdr:row>
          <xdr:rowOff>238125</xdr:rowOff>
        </xdr:to>
        <xdr:sp textlink="">
          <xdr:nvSpPr>
            <xdr:cNvPr id="2068" name="チェック 20" hidden="1">
              <a:extLst>
                <a:ext uri="{63B3BB69-23CF-44E3-9099-C40C66FF867C}">
                  <a14:compatExt spid="_x0000_s20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406255" y="14773275"/>
              <a:ext cx="350520" cy="238125"/>
            </a:xfrm>
            <a:prstGeom prst="rect"/>
          </xdr:spPr>
        </xdr:sp>
        <xdr:clientData fLocksWithSheet="0"/>
      </xdr:twoCellAnchor>
    </mc:Choice>
    <mc:Fallback/>
  </mc:AlternateContent>
  <xdr:twoCellAnchor>
    <xdr:from xmlns:xdr="http://schemas.openxmlformats.org/drawingml/2006/spreadsheetDrawing">
      <xdr:col>1</xdr:col>
      <xdr:colOff>120015</xdr:colOff>
      <xdr:row>38</xdr:row>
      <xdr:rowOff>100965</xdr:rowOff>
    </xdr:from>
    <xdr:to xmlns:xdr="http://schemas.openxmlformats.org/drawingml/2006/spreadsheetDrawing">
      <xdr:col>15</xdr:col>
      <xdr:colOff>786765</xdr:colOff>
      <xdr:row>50</xdr:row>
      <xdr:rowOff>98425</xdr:rowOff>
    </xdr:to>
    <xdr:sp macro="" textlink="">
      <xdr:nvSpPr>
        <xdr:cNvPr id="4" name="四角形: 角を丸くする 3"/>
        <xdr:cNvSpPr/>
      </xdr:nvSpPr>
      <xdr:spPr>
        <a:xfrm>
          <a:off x="577215" y="9435465"/>
          <a:ext cx="7562850" cy="2854960"/>
        </a:xfrm>
        <a:prstGeom prst="roundRect">
          <a:avLst>
            <a:gd name="adj" fmla="val 13151"/>
          </a:avLst>
        </a:prstGeom>
        <a:solidFill>
          <a:srgbClr val="FFCC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rgbClr val="FF0000"/>
              </a:solidFill>
              <a:latin typeface="メイリオ"/>
              <a:ea typeface="メイリオ"/>
            </a:rPr>
            <a:t>注意</a:t>
          </a:r>
          <a:r>
            <a:rPr kumimoji="1" lang="ja-JP" altLang="en-US" sz="1800" b="1">
              <a:solidFill>
                <a:srgbClr val="FF0000"/>
              </a:solidFill>
              <a:latin typeface="メイリオ"/>
              <a:ea typeface="メイリオ"/>
            </a:rPr>
            <a:t>　</a:t>
          </a:r>
          <a:r>
            <a:rPr kumimoji="1" lang="ja-JP" altLang="en-US" sz="1200" b="1">
              <a:solidFill>
                <a:srgbClr val="FF0000"/>
              </a:solidFill>
              <a:latin typeface="メイリオ"/>
              <a:ea typeface="メイリオ"/>
            </a:rPr>
            <a:t>結果はあくまでも試算であり、実際の保険料と異なる場合があります。</a:t>
          </a:r>
          <a:endParaRPr kumimoji="1" lang="en-US" altLang="ja-JP" sz="1400" b="1">
            <a:solidFill>
              <a:srgbClr val="FF0000"/>
            </a:solidFill>
            <a:latin typeface="メイリオ"/>
            <a:ea typeface="メイリオ"/>
          </a:endParaRPr>
        </a:p>
        <a:p>
          <a:pPr algn="l">
            <a:lnSpc>
              <a:spcPct val="80000"/>
            </a:lnSpc>
          </a:pPr>
          <a:r>
            <a:rPr kumimoji="1" lang="ja-JP" altLang="en-US" sz="1050" b="1">
              <a:solidFill>
                <a:schemeClr val="tx1"/>
              </a:solidFill>
              <a:latin typeface="メイリオ"/>
              <a:ea typeface="メイリオ"/>
            </a:rPr>
            <a:t>　</a:t>
          </a:r>
          <a:r>
            <a:rPr kumimoji="1" lang="ja-JP" altLang="en-US" sz="1200" b="1">
              <a:solidFill>
                <a:schemeClr val="tx1"/>
              </a:solidFill>
              <a:latin typeface="メイリオ"/>
              <a:ea typeface="メイリオ"/>
            </a:rPr>
            <a:t>　</a:t>
          </a:r>
          <a:r>
            <a:rPr kumimoji="1" lang="ja-JP" altLang="en-US" sz="1200" b="1">
              <a:solidFill>
                <a:schemeClr val="tx1"/>
              </a:solidFill>
              <a:latin typeface="メイリオ"/>
              <a:ea typeface="メイリオ"/>
            </a:rPr>
            <a:t>下記のいずれかに該当する場合はこのシートでは正しく計算できません。</a:t>
          </a:r>
          <a:endParaRPr kumimoji="1" lang="en-US" altLang="ja-JP" sz="1200" b="1">
            <a:solidFill>
              <a:schemeClr val="tx1"/>
            </a:solidFill>
            <a:latin typeface="メイリオ"/>
            <a:ea typeface="メイリオ"/>
          </a:endParaRPr>
        </a:p>
        <a:p>
          <a:pPr algn="l">
            <a:lnSpc>
              <a:spcPct val="80000"/>
            </a:lnSpc>
          </a:pP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　　　　・年度途中で加入者の所得や加入人数が変更になる場合</a:t>
          </a:r>
          <a:endParaRPr kumimoji="1" lang="en-US" altLang="ja-JP" sz="1000" b="1">
            <a:solidFill>
              <a:schemeClr val="tx1"/>
            </a:solidFill>
            <a:latin typeface="メイリオ"/>
            <a:ea typeface="メイリオ"/>
          </a:endParaRPr>
        </a:p>
        <a:p>
          <a:pPr algn="l">
            <a:lnSpc>
              <a:spcPct val="80000"/>
            </a:lnSpc>
          </a:pP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　　　　・年度途中に加入者が</a:t>
          </a:r>
          <a:r>
            <a:rPr kumimoji="1" lang="en-US" altLang="ja-JP" sz="1000" b="1">
              <a:solidFill>
                <a:schemeClr val="tx1"/>
              </a:solidFill>
              <a:latin typeface="メイリオ"/>
              <a:ea typeface="メイリオ"/>
            </a:rPr>
            <a:t>40</a:t>
          </a: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歳・</a:t>
          </a:r>
          <a:r>
            <a:rPr kumimoji="1" lang="en-US" altLang="ja-JP" sz="1000" b="1">
              <a:solidFill>
                <a:schemeClr val="tx1"/>
              </a:solidFill>
              <a:latin typeface="メイリオ"/>
              <a:ea typeface="メイリオ"/>
            </a:rPr>
            <a:t>65</a:t>
          </a: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歳・</a:t>
          </a:r>
          <a:r>
            <a:rPr kumimoji="1" lang="en-US" altLang="ja-JP" sz="1000" b="1">
              <a:solidFill>
                <a:schemeClr val="tx1"/>
              </a:solidFill>
              <a:latin typeface="メイリオ"/>
              <a:ea typeface="メイリオ"/>
            </a:rPr>
            <a:t>75</a:t>
          </a: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歳に到達する場合</a:t>
          </a:r>
          <a:endParaRPr kumimoji="1" lang="en-US" altLang="ja-JP" sz="1000" b="1">
            <a:solidFill>
              <a:schemeClr val="tx1"/>
            </a:solidFill>
            <a:latin typeface="メイリオ"/>
            <a:ea typeface="メイリオ"/>
          </a:endParaRPr>
        </a:p>
        <a:p>
          <a:pPr algn="l">
            <a:lnSpc>
              <a:spcPct val="80000"/>
            </a:lnSpc>
          </a:pP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　　　　・年度途中で加入者が後期高齢者医療制度に加入し、残った国民健康保険の加入者が</a:t>
          </a:r>
          <a:r>
            <a:rPr kumimoji="1" lang="en-US" altLang="ja-JP" sz="1000" b="1">
              <a:solidFill>
                <a:schemeClr val="tx1"/>
              </a:solidFill>
              <a:latin typeface="メイリオ"/>
              <a:ea typeface="メイリオ"/>
            </a:rPr>
            <a:t>1</a:t>
          </a: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人になる場合</a:t>
          </a:r>
          <a:endParaRPr kumimoji="1" lang="en-US" altLang="ja-JP" sz="1000" b="1">
            <a:solidFill>
              <a:schemeClr val="tx1"/>
            </a:solidFill>
            <a:latin typeface="メイリオ"/>
            <a:ea typeface="メイリオ"/>
          </a:endParaRPr>
        </a:p>
        <a:p>
          <a:pPr algn="l">
            <a:lnSpc>
              <a:spcPct val="80000"/>
            </a:lnSpc>
          </a:pP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　　　　・専従者控除、または専従者給与のある方</a:t>
          </a:r>
          <a:endParaRPr kumimoji="1" lang="en-US" altLang="ja-JP" sz="1000" b="1">
            <a:solidFill>
              <a:schemeClr val="tx1"/>
            </a:solidFill>
            <a:latin typeface="メイリオ"/>
            <a:ea typeface="メイリオ"/>
          </a:endParaRPr>
        </a:p>
        <a:p>
          <a:pPr algn="l">
            <a:lnSpc>
              <a:spcPct val="80000"/>
            </a:lnSpc>
          </a:pP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　　　　・総所得金額に分離課税所得（土地・株式等の譲渡所得等）がある場合</a:t>
          </a:r>
          <a:endParaRPr kumimoji="1" lang="en-US" altLang="ja-JP" sz="1000" b="1">
            <a:solidFill>
              <a:schemeClr val="tx1"/>
            </a:solidFill>
            <a:latin typeface="メイリオ"/>
            <a:ea typeface="メイリオ"/>
          </a:endParaRPr>
        </a:p>
        <a:p>
          <a:pPr algn="l">
            <a:lnSpc>
              <a:spcPct val="80000"/>
            </a:lnSpc>
            <a:spcBef>
              <a:spcPts val="0"/>
            </a:spcBef>
            <a:spcAft>
              <a:spcPts val="0"/>
            </a:spcAft>
          </a:pP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　　　　・給与所得と年金所得があり、下記の理由で所得金額調整控除に影響がある場合</a:t>
          </a:r>
          <a:endParaRPr kumimoji="1" lang="en-US" altLang="ja-JP" sz="1000" b="1">
            <a:solidFill>
              <a:schemeClr val="tx1"/>
            </a:solidFill>
            <a:latin typeface="メイリオ"/>
            <a:ea typeface="メイリオ"/>
          </a:endParaRPr>
        </a:p>
        <a:p>
          <a:pPr algn="l">
            <a:lnSpc>
              <a:spcPct val="80000"/>
            </a:lnSpc>
            <a:spcBef>
              <a:spcPts val="0"/>
            </a:spcBef>
            <a:spcAft>
              <a:spcPts val="0"/>
            </a:spcAft>
          </a:pP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　　　　　（昭和35年１月１日生まれの人で年金所得がある場合、その所得から15万控除します。）</a:t>
          </a:r>
          <a:endParaRPr kumimoji="1" lang="en-US" altLang="ja-JP" sz="1000" b="1">
            <a:solidFill>
              <a:schemeClr val="tx1"/>
            </a:solidFill>
            <a:latin typeface="メイリオ"/>
            <a:ea typeface="メイリオ"/>
          </a:endParaRPr>
        </a:p>
        <a:p>
          <a:pPr algn="l">
            <a:lnSpc>
              <a:spcPct val="80000"/>
            </a:lnSpc>
            <a:spcBef>
              <a:spcPts val="0"/>
            </a:spcBef>
            <a:spcAft>
              <a:spcPts val="0"/>
            </a:spcAft>
          </a:pP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　　　　・複数収入がある場合　→　額に応じて正しい計算ができない場合がある</a:t>
          </a:r>
          <a:endParaRPr kumimoji="1" lang="en-US" altLang="ja-JP" sz="1000" b="1">
            <a:solidFill>
              <a:schemeClr val="tx1"/>
            </a:solidFill>
            <a:latin typeface="メイリオ"/>
            <a:ea typeface="メイリオ"/>
          </a:endParaRPr>
        </a:p>
        <a:p>
          <a:pPr algn="l">
            <a:lnSpc>
              <a:spcPct val="80000"/>
            </a:lnSpc>
            <a:spcBef>
              <a:spcPts val="0"/>
            </a:spcBef>
            <a:spcAft>
              <a:spcPts val="0"/>
            </a:spcAft>
          </a:pPr>
          <a:r>
            <a:rPr kumimoji="1" lang="ja-JP" altLang="en-US" sz="1000" b="1">
              <a:solidFill>
                <a:schemeClr val="tx1"/>
              </a:solidFill>
              <a:latin typeface="メイリオ"/>
              <a:ea typeface="メイリオ"/>
            </a:rPr>
            <a:t>　　　　　（例：給与所得がある　かつ　年金雑所得が15～25万の65歳以上の方</a:t>
          </a:r>
          <a:r>
            <a:rPr kumimoji="1" lang="ja-JP" altLang="en-US" sz="1050" b="1">
              <a:solidFill>
                <a:schemeClr val="tx1"/>
              </a:solidFill>
              <a:latin typeface="メイリオ"/>
              <a:ea typeface="メイリオ"/>
            </a:rPr>
            <a:t>）</a:t>
          </a:r>
          <a:endParaRPr kumimoji="1" lang="en-US" altLang="ja-JP" sz="1050" b="1">
            <a:solidFill>
              <a:schemeClr val="tx1"/>
            </a:solidFill>
            <a:latin typeface="メイリオ"/>
            <a:ea typeface="メイリオ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70</xdr:row>
      <xdr:rowOff>29210</xdr:rowOff>
    </xdr:from>
    <xdr:to xmlns:xdr="http://schemas.openxmlformats.org/drawingml/2006/spreadsheetDrawing">
      <xdr:col>3</xdr:col>
      <xdr:colOff>414655</xdr:colOff>
      <xdr:row>73</xdr:row>
      <xdr:rowOff>17780</xdr:rowOff>
    </xdr:to>
    <xdr:sp macro="" textlink="">
      <xdr:nvSpPr>
        <xdr:cNvPr id="5" name="テキスト ボックス 4"/>
        <xdr:cNvSpPr txBox="1"/>
      </xdr:nvSpPr>
      <xdr:spPr>
        <a:xfrm>
          <a:off x="1676400" y="18964910"/>
          <a:ext cx="414655" cy="89344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</a:t>
          </a:r>
          <a:r>
            <a:rPr kumimoji="1" lang="ja-JP" altLang="en-US" sz="1100"/>
            <a:t>ア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7</xdr:col>
      <xdr:colOff>0</xdr:colOff>
      <xdr:row>70</xdr:row>
      <xdr:rowOff>25400</xdr:rowOff>
    </xdr:from>
    <xdr:to xmlns:xdr="http://schemas.openxmlformats.org/drawingml/2006/spreadsheetDrawing">
      <xdr:col>7</xdr:col>
      <xdr:colOff>416560</xdr:colOff>
      <xdr:row>70</xdr:row>
      <xdr:rowOff>358140</xdr:rowOff>
    </xdr:to>
    <xdr:sp macro="" textlink="">
      <xdr:nvSpPr>
        <xdr:cNvPr id="6" name="テキスト ボックス 5"/>
        <xdr:cNvSpPr txBox="1"/>
      </xdr:nvSpPr>
      <xdr:spPr>
        <a:xfrm>
          <a:off x="3552825" y="18961100"/>
          <a:ext cx="416560" cy="33274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</a:t>
          </a:r>
          <a:r>
            <a:rPr kumimoji="1" lang="ja-JP" altLang="en-US" sz="1100"/>
            <a:t>イ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15875</xdr:colOff>
      <xdr:row>70</xdr:row>
      <xdr:rowOff>48260</xdr:rowOff>
    </xdr:from>
    <xdr:to xmlns:xdr="http://schemas.openxmlformats.org/drawingml/2006/spreadsheetDrawing">
      <xdr:col>11</xdr:col>
      <xdr:colOff>434340</xdr:colOff>
      <xdr:row>73</xdr:row>
      <xdr:rowOff>37465</xdr:rowOff>
    </xdr:to>
    <xdr:sp macro="" textlink="">
      <xdr:nvSpPr>
        <xdr:cNvPr id="7" name="テキスト ボックス 6"/>
        <xdr:cNvSpPr txBox="1"/>
      </xdr:nvSpPr>
      <xdr:spPr>
        <a:xfrm>
          <a:off x="5492750" y="18983960"/>
          <a:ext cx="418465" cy="8940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</a:t>
          </a:r>
          <a:r>
            <a:rPr kumimoji="1" lang="ja-JP" altLang="en-US" sz="1100"/>
            <a:t>ウ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112395</xdr:colOff>
      <xdr:row>26</xdr:row>
      <xdr:rowOff>158115</xdr:rowOff>
    </xdr:from>
    <xdr:to xmlns:xdr="http://schemas.openxmlformats.org/drawingml/2006/spreadsheetDrawing">
      <xdr:col>10</xdr:col>
      <xdr:colOff>111125</xdr:colOff>
      <xdr:row>35</xdr:row>
      <xdr:rowOff>222250</xdr:rowOff>
    </xdr:to>
    <xdr:grpSp>
      <xdr:nvGrpSpPr>
        <xdr:cNvPr id="13" name="グループ化 12"/>
        <xdr:cNvGrpSpPr/>
      </xdr:nvGrpSpPr>
      <xdr:grpSpPr>
        <a:xfrm>
          <a:off x="112395" y="6635115"/>
          <a:ext cx="5189855" cy="2207260"/>
          <a:chOff x="312965" y="4476751"/>
          <a:chExt cx="6109607" cy="2305855"/>
        </a:xfrm>
      </xdr:grpSpPr>
      <xdr:pic macro="">
        <xdr:nvPicPr>
          <xdr:cNvPr id="9" name="図 8"/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5022" t="18253" r="24588" b="31898"/>
          <a:stretch>
            <a:fillRect/>
          </a:stretch>
        </xdr:blipFill>
        <xdr:spPr>
          <a:xfrm>
            <a:off x="312965" y="4476751"/>
            <a:ext cx="6109607" cy="2305855"/>
          </a:xfrm>
          <a:prstGeom prst="rect">
            <a:avLst/>
          </a:prstGeom>
        </xdr:spPr>
      </xdr:pic>
      <xdr:sp macro="" textlink="">
        <xdr:nvSpPr>
          <xdr:cNvPr id="10" name="正方形/長方形 9"/>
          <xdr:cNvSpPr/>
        </xdr:nvSpPr>
        <xdr:spPr>
          <a:xfrm>
            <a:off x="1660071" y="5837464"/>
            <a:ext cx="1211036" cy="47625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 xmlns:xdr="http://schemas.openxmlformats.org/drawingml/2006/spreadsheetDrawing">
      <xdr:col>10</xdr:col>
      <xdr:colOff>97790</xdr:colOff>
      <xdr:row>26</xdr:row>
      <xdr:rowOff>184150</xdr:rowOff>
    </xdr:from>
    <xdr:to xmlns:xdr="http://schemas.openxmlformats.org/drawingml/2006/spreadsheetDrawing">
      <xdr:col>19</xdr:col>
      <xdr:colOff>504825</xdr:colOff>
      <xdr:row>36</xdr:row>
      <xdr:rowOff>210820</xdr:rowOff>
    </xdr:to>
    <xdr:grpSp>
      <xdr:nvGrpSpPr>
        <xdr:cNvPr id="14" name="グループ化 13"/>
        <xdr:cNvGrpSpPr/>
      </xdr:nvGrpSpPr>
      <xdr:grpSpPr>
        <a:xfrm>
          <a:off x="5288915" y="6661150"/>
          <a:ext cx="4445635" cy="2407920"/>
          <a:chOff x="6626679" y="4612821"/>
          <a:chExt cx="6879770" cy="2639786"/>
        </a:xfrm>
      </xdr:grpSpPr>
      <xdr:pic macro="">
        <xdr:nvPicPr>
          <xdr:cNvPr id="11" name="図 10"/>
          <xdr:cNvPicPr>
            <a:picLocks noChangeAspect="1"/>
          </xdr:cNvPicPr>
        </xdr:nvPicPr>
        <xdr:blipFill>
          <a:blip xmlns:r="http://schemas.openxmlformats.org/officeDocument/2006/relationships" r:embed="rId2"/>
          <a:srcRect l="8994" t="23453" r="24902" b="28955"/>
          <a:stretch>
            <a:fillRect/>
          </a:stretch>
        </xdr:blipFill>
        <xdr:spPr>
          <a:xfrm>
            <a:off x="6626679" y="4612821"/>
            <a:ext cx="6879770" cy="2639786"/>
          </a:xfrm>
          <a:prstGeom prst="rect">
            <a:avLst/>
          </a:prstGeom>
        </xdr:spPr>
      </xdr:pic>
      <xdr:sp macro="" textlink="">
        <xdr:nvSpPr>
          <xdr:cNvPr id="12" name="正方形/長方形 11"/>
          <xdr:cNvSpPr/>
        </xdr:nvSpPr>
        <xdr:spPr>
          <a:xfrm>
            <a:off x="8479970" y="5676900"/>
            <a:ext cx="2500993" cy="990601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 xmlns:xdr="http://schemas.openxmlformats.org/drawingml/2006/spreadsheetDrawing">
      <xdr:col>14</xdr:col>
      <xdr:colOff>229235</xdr:colOff>
      <xdr:row>70</xdr:row>
      <xdr:rowOff>66040</xdr:rowOff>
    </xdr:from>
    <xdr:to xmlns:xdr="http://schemas.openxmlformats.org/drawingml/2006/spreadsheetDrawing">
      <xdr:col>15</xdr:col>
      <xdr:colOff>497205</xdr:colOff>
      <xdr:row>73</xdr:row>
      <xdr:rowOff>47625</xdr:rowOff>
    </xdr:to>
    <xdr:sp macro="" textlink="">
      <xdr:nvSpPr>
        <xdr:cNvPr id="2069" name="テキスト ボックス 41"/>
        <xdr:cNvSpPr txBox="1"/>
      </xdr:nvSpPr>
      <xdr:spPr>
        <a:xfrm>
          <a:off x="7344410" y="19001740"/>
          <a:ext cx="506095" cy="8864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(エ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14</xdr:col>
      <xdr:colOff>231140</xdr:colOff>
      <xdr:row>64</xdr:row>
      <xdr:rowOff>48260</xdr:rowOff>
    </xdr:from>
    <xdr:to xmlns:xdr="http://schemas.openxmlformats.org/drawingml/2006/spreadsheetDrawing">
      <xdr:col>15</xdr:col>
      <xdr:colOff>452755</xdr:colOff>
      <xdr:row>66</xdr:row>
      <xdr:rowOff>93345</xdr:rowOff>
    </xdr:to>
    <xdr:sp macro="" textlink="">
      <xdr:nvSpPr>
        <xdr:cNvPr id="2070" name="テキスト ボックス 41"/>
        <xdr:cNvSpPr txBox="1"/>
      </xdr:nvSpPr>
      <xdr:spPr>
        <a:xfrm>
          <a:off x="7346315" y="16983710"/>
          <a:ext cx="459740" cy="7118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※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314325</xdr:colOff>
      <xdr:row>1</xdr:row>
      <xdr:rowOff>11430</xdr:rowOff>
    </xdr:from>
    <xdr:to xmlns:xdr="http://schemas.openxmlformats.org/drawingml/2006/spreadsheetDrawing">
      <xdr:col>11</xdr:col>
      <xdr:colOff>638175</xdr:colOff>
      <xdr:row>7</xdr:row>
      <xdr:rowOff>31115</xdr:rowOff>
    </xdr:to>
    <xdr:sp macro="" textlink="">
      <xdr:nvSpPr>
        <xdr:cNvPr id="2" name="吹き出し: 角を丸めた四角形 1"/>
        <xdr:cNvSpPr/>
      </xdr:nvSpPr>
      <xdr:spPr>
        <a:xfrm>
          <a:off x="5638800" y="259080"/>
          <a:ext cx="3371850" cy="1448435"/>
        </a:xfrm>
        <a:prstGeom prst="wedgeRoundRectCallout">
          <a:avLst>
            <a:gd name="adj1" fmla="val -73546"/>
            <a:gd name="adj2" fmla="val -176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料率変更時には、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この表を修正したら、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計算表にはすべて反映できます。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一番上の「令和〇年度　松江市試算シート」の数字と、説明文のみ変更してください。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6:T76"/>
  <sheetViews>
    <sheetView showGridLines="0" tabSelected="1" zoomScale="85" zoomScaleNormal="85" workbookViewId="0">
      <selection activeCell="D53" sqref="D53:E53"/>
    </sheetView>
  </sheetViews>
  <sheetFormatPr defaultRowHeight="18.75"/>
  <cols>
    <col min="1" max="2" width="6" customWidth="1"/>
    <col min="3" max="3" width="10" customWidth="1"/>
    <col min="4" max="4" width="10.5" customWidth="1"/>
    <col min="5" max="5" width="3.375" customWidth="1"/>
    <col min="6" max="6" width="7.625" customWidth="1"/>
    <col min="7" max="7" width="3.125" customWidth="1"/>
    <col min="8" max="8" width="10.5" style="1" customWidth="1"/>
    <col min="9" max="9" width="3.375" style="1" customWidth="1"/>
    <col min="10" max="10" width="7.625" style="1" customWidth="1"/>
    <col min="11" max="11" width="3.75" style="1" customWidth="1"/>
    <col min="12" max="12" width="10.5" customWidth="1"/>
    <col min="13" max="13" width="3.375" customWidth="1"/>
    <col min="14" max="14" width="7.625" customWidth="1"/>
    <col min="15" max="15" width="3.125" customWidth="1"/>
    <col min="16" max="16" width="10.5" customWidth="1"/>
    <col min="17" max="17" width="3.375" customWidth="1"/>
    <col min="18" max="18" width="7.625" customWidth="1"/>
    <col min="19" max="19" width="3.125" style="2" customWidth="1"/>
    <col min="20" max="20" width="6.625" customWidth="1"/>
  </cols>
  <sheetData>
    <row r="1" spans="2:18" ht="39.75" customHeight="1"/>
    <row r="6" spans="2:18" ht="19.5">
      <c r="B6" s="6" t="s">
        <v>67</v>
      </c>
      <c r="C6" s="6"/>
      <c r="D6" s="6"/>
      <c r="E6" s="6"/>
      <c r="F6" s="6"/>
      <c r="G6" s="6"/>
      <c r="H6" s="6"/>
      <c r="I6" s="6"/>
      <c r="J6" s="6"/>
    </row>
    <row r="7" spans="2:18" ht="19.5">
      <c r="B7" s="12"/>
      <c r="C7" s="26" t="s">
        <v>97</v>
      </c>
      <c r="D7" s="36"/>
      <c r="E7" s="36"/>
      <c r="F7" s="36"/>
      <c r="G7" s="36"/>
      <c r="H7" s="36"/>
      <c r="I7" s="36"/>
      <c r="J7" s="36"/>
      <c r="K7" s="102"/>
      <c r="L7" s="102"/>
    </row>
    <row r="9" spans="2:18">
      <c r="B9" s="13" t="s">
        <v>94</v>
      </c>
      <c r="C9" s="27"/>
      <c r="D9" s="37"/>
      <c r="F9" s="61" t="s">
        <v>96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>
      <c r="B10" s="14"/>
      <c r="C10" s="28"/>
      <c r="D10" s="38"/>
      <c r="E10" s="52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2" spans="2:18">
      <c r="B12" s="13" t="s">
        <v>84</v>
      </c>
      <c r="C12" s="27"/>
      <c r="D12" s="37"/>
      <c r="F12" s="62" t="s">
        <v>123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>
      <c r="B13" s="14"/>
      <c r="C13" s="28"/>
      <c r="D13" s="38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5" spans="2:18" ht="18.75" customHeight="1">
      <c r="B15" s="13" t="s">
        <v>82</v>
      </c>
      <c r="C15" s="27"/>
      <c r="D15" s="37"/>
      <c r="F15" s="62" t="s">
        <v>129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2:18">
      <c r="B16" s="14"/>
      <c r="C16" s="28"/>
      <c r="D16" s="38"/>
      <c r="E16" s="53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8" spans="2:18">
      <c r="B18" s="13" t="s">
        <v>68</v>
      </c>
      <c r="C18" s="27"/>
      <c r="D18" s="37"/>
      <c r="F18" s="61" t="s">
        <v>124</v>
      </c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</row>
    <row r="19" spans="2:18">
      <c r="B19" s="15"/>
      <c r="C19" s="29"/>
      <c r="D19" s="39"/>
      <c r="F19" s="63" t="s">
        <v>71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</row>
    <row r="20" spans="2:18" ht="18.75" customHeight="1">
      <c r="B20" s="15"/>
      <c r="C20" s="29"/>
      <c r="D20" s="39"/>
      <c r="F20" s="62" t="s">
        <v>69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2:18">
      <c r="B21" s="15"/>
      <c r="C21" s="29"/>
      <c r="D21" s="39"/>
      <c r="E21" s="53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2:18">
      <c r="B22" s="15"/>
      <c r="C22" s="29"/>
      <c r="D22" s="39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2:18">
      <c r="B23" s="14"/>
      <c r="C23" s="28"/>
      <c r="D23" s="38"/>
      <c r="F23" s="62" t="s">
        <v>98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5" spans="2:18" ht="18.75" customHeight="1">
      <c r="B25" s="16" t="s">
        <v>73</v>
      </c>
      <c r="C25" s="27"/>
      <c r="D25" s="37"/>
      <c r="F25" s="62" t="s">
        <v>109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2:18">
      <c r="B26" s="14"/>
      <c r="C26" s="28"/>
      <c r="D26" s="38"/>
      <c r="E26" s="53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40" spans="19:20">
      <c r="S40" s="102"/>
      <c r="T40" s="102"/>
    </row>
    <row r="41" spans="19:20">
      <c r="S41" s="102"/>
    </row>
    <row r="42" spans="19:20">
      <c r="S42" s="102"/>
    </row>
    <row r="43" spans="19:20">
      <c r="S43" s="102"/>
    </row>
    <row r="44" spans="19:20">
      <c r="S44" s="102"/>
    </row>
    <row r="45" spans="19:20">
      <c r="S45" s="102"/>
    </row>
    <row r="46" spans="19:20">
      <c r="S46" s="102"/>
    </row>
    <row r="47" spans="19:20">
      <c r="S47" s="102"/>
      <c r="T47" s="151"/>
    </row>
    <row r="48" spans="19:20">
      <c r="S48" s="102"/>
      <c r="T48" s="151"/>
    </row>
    <row r="49" spans="1:20">
      <c r="S49" s="146"/>
    </row>
    <row r="51" spans="1:20" ht="21.75" customHeight="1">
      <c r="P51" s="2"/>
      <c r="Q51" s="1"/>
    </row>
    <row r="52" spans="1:20" ht="37.5" customHeight="1">
      <c r="B52" s="17" t="s">
        <v>95</v>
      </c>
      <c r="C52" s="17" t="s">
        <v>83</v>
      </c>
      <c r="D52" s="40" t="s">
        <v>128</v>
      </c>
      <c r="E52" s="17"/>
      <c r="F52" s="64" t="s">
        <v>75</v>
      </c>
      <c r="G52" s="64"/>
      <c r="H52" s="64"/>
      <c r="I52" s="64" t="s">
        <v>76</v>
      </c>
      <c r="J52" s="64"/>
      <c r="K52" s="64"/>
      <c r="L52" s="64" t="s">
        <v>77</v>
      </c>
      <c r="M52" s="64"/>
      <c r="N52" s="64" t="s">
        <v>107</v>
      </c>
      <c r="O52" s="64"/>
      <c r="P52" s="64"/>
      <c r="Q52" s="17" t="s">
        <v>108</v>
      </c>
      <c r="R52" s="17"/>
      <c r="S52" s="17"/>
      <c r="T52" s="152" t="s">
        <v>15</v>
      </c>
    </row>
    <row r="53" spans="1:20" ht="24" customHeight="1">
      <c r="A53" s="4" t="s">
        <v>1</v>
      </c>
      <c r="B53" s="18"/>
      <c r="C53" s="18"/>
      <c r="D53" s="18"/>
      <c r="E53" s="18"/>
      <c r="F53" s="65"/>
      <c r="G53" s="65"/>
      <c r="H53" s="65"/>
      <c r="I53" s="65"/>
      <c r="J53" s="65"/>
      <c r="K53" s="65"/>
      <c r="L53" s="65"/>
      <c r="M53" s="65"/>
      <c r="N53" s="122">
        <f>計算!D74+計算!E74+L53</f>
        <v>0</v>
      </c>
      <c r="O53" s="122"/>
      <c r="P53" s="122"/>
      <c r="Q53" s="122">
        <f>IF(B53=計算!A14,0,IF($N53&gt;430000,$N53-430000,0))</f>
        <v>0</v>
      </c>
      <c r="R53" s="122"/>
      <c r="S53" s="122"/>
      <c r="T53" s="153"/>
    </row>
    <row r="54" spans="1:20" ht="24" customHeight="1">
      <c r="A54" s="5" t="s">
        <v>41</v>
      </c>
      <c r="B54" s="19"/>
      <c r="C54" s="18"/>
      <c r="D54" s="18"/>
      <c r="E54" s="18"/>
      <c r="F54" s="65"/>
      <c r="G54" s="65"/>
      <c r="H54" s="65"/>
      <c r="I54" s="65"/>
      <c r="J54" s="65"/>
      <c r="K54" s="65"/>
      <c r="L54" s="65"/>
      <c r="M54" s="65"/>
      <c r="N54" s="122">
        <f>計算!D75+計算!E75+L54</f>
        <v>0</v>
      </c>
      <c r="O54" s="122"/>
      <c r="P54" s="122"/>
      <c r="Q54" s="122">
        <f t="shared" ref="Q54:Q59" si="0">IF(ISBLANK($D54),0,IF($N54&gt;430000,$N54-430000,0))</f>
        <v>0</v>
      </c>
      <c r="R54" s="122"/>
      <c r="S54" s="122"/>
      <c r="T54" s="153"/>
    </row>
    <row r="55" spans="1:20" ht="24" customHeight="1">
      <c r="A55" s="5" t="s">
        <v>42</v>
      </c>
      <c r="B55" s="19"/>
      <c r="C55" s="18"/>
      <c r="D55" s="18"/>
      <c r="E55" s="18"/>
      <c r="F55" s="65"/>
      <c r="G55" s="65"/>
      <c r="H55" s="65"/>
      <c r="I55" s="65"/>
      <c r="J55" s="65"/>
      <c r="K55" s="65"/>
      <c r="L55" s="65"/>
      <c r="M55" s="65"/>
      <c r="N55" s="122">
        <f>計算!D76+計算!E76+L55</f>
        <v>0</v>
      </c>
      <c r="O55" s="122"/>
      <c r="P55" s="122"/>
      <c r="Q55" s="122">
        <f t="shared" si="0"/>
        <v>0</v>
      </c>
      <c r="R55" s="122"/>
      <c r="S55" s="122"/>
      <c r="T55" s="153"/>
    </row>
    <row r="56" spans="1:20" ht="24" customHeight="1">
      <c r="A56" s="5" t="s">
        <v>43</v>
      </c>
      <c r="B56" s="19"/>
      <c r="C56" s="18"/>
      <c r="D56" s="18"/>
      <c r="E56" s="18"/>
      <c r="F56" s="65"/>
      <c r="G56" s="65"/>
      <c r="H56" s="65"/>
      <c r="I56" s="65"/>
      <c r="J56" s="65"/>
      <c r="K56" s="65"/>
      <c r="L56" s="65"/>
      <c r="M56" s="65"/>
      <c r="N56" s="122">
        <f>計算!D77+計算!E77+L56</f>
        <v>0</v>
      </c>
      <c r="O56" s="122"/>
      <c r="P56" s="122"/>
      <c r="Q56" s="122">
        <f t="shared" si="0"/>
        <v>0</v>
      </c>
      <c r="R56" s="122"/>
      <c r="S56" s="122"/>
      <c r="T56" s="153"/>
    </row>
    <row r="57" spans="1:20" ht="24" customHeight="1">
      <c r="A57" s="5" t="s">
        <v>46</v>
      </c>
      <c r="B57" s="19"/>
      <c r="C57" s="18"/>
      <c r="D57" s="18"/>
      <c r="E57" s="18"/>
      <c r="F57" s="65"/>
      <c r="G57" s="65"/>
      <c r="H57" s="65"/>
      <c r="I57" s="65"/>
      <c r="J57" s="65"/>
      <c r="K57" s="65"/>
      <c r="L57" s="65"/>
      <c r="M57" s="65"/>
      <c r="N57" s="122">
        <f>計算!D78+計算!E78+L57</f>
        <v>0</v>
      </c>
      <c r="O57" s="122"/>
      <c r="P57" s="122"/>
      <c r="Q57" s="122">
        <f t="shared" si="0"/>
        <v>0</v>
      </c>
      <c r="R57" s="122"/>
      <c r="S57" s="122"/>
      <c r="T57" s="153"/>
    </row>
    <row r="58" spans="1:20" ht="24" customHeight="1">
      <c r="A58" s="5" t="s">
        <v>36</v>
      </c>
      <c r="B58" s="19"/>
      <c r="C58" s="18"/>
      <c r="D58" s="18"/>
      <c r="E58" s="18"/>
      <c r="F58" s="65"/>
      <c r="G58" s="65"/>
      <c r="H58" s="65"/>
      <c r="I58" s="65"/>
      <c r="J58" s="65"/>
      <c r="K58" s="65"/>
      <c r="L58" s="65"/>
      <c r="M58" s="65"/>
      <c r="N58" s="122">
        <f>計算!D79+計算!E79+L58</f>
        <v>0</v>
      </c>
      <c r="O58" s="122"/>
      <c r="P58" s="122"/>
      <c r="Q58" s="122">
        <f t="shared" si="0"/>
        <v>0</v>
      </c>
      <c r="R58" s="122"/>
      <c r="S58" s="122"/>
      <c r="T58" s="153"/>
    </row>
    <row r="59" spans="1:20" ht="24" customHeight="1">
      <c r="A59" s="5" t="s">
        <v>3</v>
      </c>
      <c r="B59" s="19"/>
      <c r="C59" s="18"/>
      <c r="D59" s="18"/>
      <c r="E59" s="18"/>
      <c r="F59" s="65"/>
      <c r="G59" s="65"/>
      <c r="H59" s="65"/>
      <c r="I59" s="65"/>
      <c r="J59" s="65"/>
      <c r="K59" s="65"/>
      <c r="L59" s="65"/>
      <c r="M59" s="65"/>
      <c r="N59" s="122">
        <f>計算!D80+計算!E80+L59</f>
        <v>0</v>
      </c>
      <c r="O59" s="122"/>
      <c r="P59" s="122"/>
      <c r="Q59" s="122">
        <f t="shared" si="0"/>
        <v>0</v>
      </c>
      <c r="R59" s="122"/>
      <c r="S59" s="122"/>
      <c r="T59" s="153"/>
    </row>
    <row r="60" spans="1:20" ht="42.75" customHeight="1"/>
    <row r="61" spans="1:20" ht="30.75" customHeight="1">
      <c r="A61" s="6"/>
      <c r="B61" s="6"/>
      <c r="C61" s="6"/>
      <c r="D61" s="41" t="s">
        <v>4</v>
      </c>
      <c r="E61" s="54"/>
      <c r="F61" s="54"/>
      <c r="G61" s="54"/>
      <c r="H61" s="78" t="s">
        <v>5</v>
      </c>
      <c r="I61" s="89"/>
      <c r="J61" s="89"/>
      <c r="K61" s="103"/>
      <c r="L61" s="110" t="s">
        <v>56</v>
      </c>
      <c r="M61" s="110"/>
      <c r="N61" s="110"/>
      <c r="O61" s="110"/>
      <c r="P61" s="132" t="s">
        <v>127</v>
      </c>
      <c r="Q61" s="139"/>
      <c r="R61" s="139"/>
      <c r="S61" s="147"/>
    </row>
    <row r="62" spans="1:20" ht="20.25" customHeight="1">
      <c r="A62" s="7" t="s">
        <v>7</v>
      </c>
      <c r="B62" s="20"/>
      <c r="C62" s="30"/>
      <c r="D62" s="42" t="s">
        <v>79</v>
      </c>
      <c r="E62" s="55" t="s">
        <v>57</v>
      </c>
      <c r="F62" s="66">
        <f>計算!B3</f>
        <v>7.980000000000001e-002</v>
      </c>
      <c r="G62" s="72"/>
      <c r="H62" s="79" t="s">
        <v>85</v>
      </c>
      <c r="I62" s="90" t="s">
        <v>57</v>
      </c>
      <c r="J62" s="96">
        <f>計算!B4</f>
        <v>2.6099999999999998e-002</v>
      </c>
      <c r="K62" s="104"/>
      <c r="L62" s="111" t="s">
        <v>85</v>
      </c>
      <c r="M62" s="118" t="s">
        <v>57</v>
      </c>
      <c r="N62" s="123">
        <f>計算!B5</f>
        <v>2.3799999999999998e-002</v>
      </c>
      <c r="O62" s="128"/>
      <c r="P62" s="133" t="s">
        <v>79</v>
      </c>
      <c r="Q62" s="139" t="s">
        <v>57</v>
      </c>
      <c r="R62" s="144">
        <f>計算!B6</f>
        <v>2.8000000000000004e-003</v>
      </c>
      <c r="S62" s="148"/>
    </row>
    <row r="63" spans="1:20" ht="32.25" customHeight="1">
      <c r="A63" s="8"/>
      <c r="B63" s="21"/>
      <c r="C63" s="31"/>
      <c r="D63" s="43">
        <f>ROUNDDOWN(計算!L73*計算!B3,0)</f>
        <v>0</v>
      </c>
      <c r="E63" s="56"/>
      <c r="F63" s="56"/>
      <c r="G63" s="73"/>
      <c r="H63" s="80">
        <f>ROUNDDOWN(計算!L73*計算!B4,0)</f>
        <v>0</v>
      </c>
      <c r="I63" s="80"/>
      <c r="J63" s="80"/>
      <c r="K63" s="80"/>
      <c r="L63" s="112">
        <f>ROUNDDOWN(計算!L77*計算!B5,0)</f>
        <v>0</v>
      </c>
      <c r="M63" s="112"/>
      <c r="N63" s="112"/>
      <c r="O63" s="112"/>
      <c r="P63" s="134">
        <f>ROUNDDOWN(計算!L73*計算!B6,0)</f>
        <v>0</v>
      </c>
      <c r="Q63" s="134"/>
      <c r="R63" s="134"/>
      <c r="S63" s="134"/>
    </row>
    <row r="64" spans="1:20" ht="20.25" customHeight="1">
      <c r="A64" s="7" t="s">
        <v>10</v>
      </c>
      <c r="B64" s="20"/>
      <c r="C64" s="30"/>
      <c r="D64" s="44">
        <f>計算!C3</f>
        <v>31380</v>
      </c>
      <c r="E64" s="55" t="s">
        <v>57</v>
      </c>
      <c r="F64" s="67">
        <f>計算!B91-計算!F86*0.5</f>
        <v>0</v>
      </c>
      <c r="G64" s="72" t="s">
        <v>53</v>
      </c>
      <c r="H64" s="81">
        <f>計算!C4</f>
        <v>11560</v>
      </c>
      <c r="I64" s="91" t="s">
        <v>57</v>
      </c>
      <c r="J64" s="97">
        <f>計算!B91-計算!F86*0.5</f>
        <v>0</v>
      </c>
      <c r="K64" s="105" t="s">
        <v>53</v>
      </c>
      <c r="L64" s="113">
        <f>計算!C5</f>
        <v>11280</v>
      </c>
      <c r="M64" s="119" t="s">
        <v>57</v>
      </c>
      <c r="N64" s="124">
        <f>計算!E86</f>
        <v>0</v>
      </c>
      <c r="O64" s="129" t="s">
        <v>55</v>
      </c>
      <c r="P64" s="135">
        <f>計算!C6+計算!D6</f>
        <v>1260</v>
      </c>
      <c r="Q64" s="140" t="s">
        <v>57</v>
      </c>
      <c r="R64" s="145">
        <f>計算!G86</f>
        <v>0</v>
      </c>
      <c r="S64" s="147" t="s">
        <v>55</v>
      </c>
    </row>
    <row r="65" spans="1:19" ht="32.25" customHeight="1">
      <c r="A65" s="8"/>
      <c r="B65" s="21"/>
      <c r="C65" s="31"/>
      <c r="D65" s="43">
        <f>計算!C3*F64</f>
        <v>0</v>
      </c>
      <c r="E65" s="56"/>
      <c r="F65" s="56"/>
      <c r="G65" s="73"/>
      <c r="H65" s="80">
        <f>計算!C4*J64</f>
        <v>0</v>
      </c>
      <c r="I65" s="80"/>
      <c r="J65" s="80"/>
      <c r="K65" s="80"/>
      <c r="L65" s="112">
        <f>計算!C5*N64</f>
        <v>0</v>
      </c>
      <c r="M65" s="112"/>
      <c r="N65" s="112"/>
      <c r="O65" s="112"/>
      <c r="P65" s="136">
        <f>(計算!C6+計算!D6)*R64</f>
        <v>0</v>
      </c>
      <c r="Q65" s="141"/>
      <c r="R65" s="141"/>
      <c r="S65" s="149"/>
    </row>
    <row r="66" spans="1:19" ht="20.25" customHeight="1">
      <c r="A66" s="7" t="s">
        <v>9</v>
      </c>
      <c r="B66" s="20"/>
      <c r="C66" s="30"/>
      <c r="D66" s="42" t="s">
        <v>86</v>
      </c>
      <c r="E66" s="57">
        <f>計算!E3</f>
        <v>19560</v>
      </c>
      <c r="F66" s="57"/>
      <c r="G66" s="74"/>
      <c r="H66" s="82" t="s">
        <v>86</v>
      </c>
      <c r="I66" s="92">
        <f>計算!E4</f>
        <v>7320</v>
      </c>
      <c r="J66" s="92"/>
      <c r="K66" s="106"/>
      <c r="L66" s="114" t="s">
        <v>86</v>
      </c>
      <c r="M66" s="120">
        <f>計算!E5</f>
        <v>5640</v>
      </c>
      <c r="N66" s="120"/>
      <c r="O66" s="130"/>
      <c r="P66" s="137" t="s">
        <v>86</v>
      </c>
      <c r="Q66" s="142">
        <f>計算!E6</f>
        <v>820</v>
      </c>
      <c r="R66" s="142"/>
      <c r="S66" s="150"/>
    </row>
    <row r="67" spans="1:19" ht="32.25" customHeight="1">
      <c r="A67" s="8"/>
      <c r="B67" s="21"/>
      <c r="C67" s="31"/>
      <c r="D67" s="43">
        <f>計算!E3</f>
        <v>19560</v>
      </c>
      <c r="E67" s="56"/>
      <c r="F67" s="56"/>
      <c r="G67" s="73"/>
      <c r="H67" s="80">
        <f>計算!E4</f>
        <v>7320</v>
      </c>
      <c r="I67" s="80"/>
      <c r="J67" s="80"/>
      <c r="K67" s="80"/>
      <c r="L67" s="112">
        <f>IF(L65,計算!E5,0)</f>
        <v>0</v>
      </c>
      <c r="M67" s="112"/>
      <c r="N67" s="112"/>
      <c r="O67" s="112"/>
      <c r="P67" s="136">
        <f>計算!E6</f>
        <v>820</v>
      </c>
      <c r="Q67" s="141"/>
      <c r="R67" s="141"/>
      <c r="S67" s="149"/>
    </row>
    <row r="68" spans="1:19" ht="20.25" customHeight="1">
      <c r="A68" s="9" t="s">
        <v>20</v>
      </c>
      <c r="B68" s="22"/>
      <c r="C68" s="32"/>
      <c r="D68" s="45" t="s">
        <v>59</v>
      </c>
      <c r="E68" s="55" t="s">
        <v>57</v>
      </c>
      <c r="F68" s="68">
        <f>IF(計算!G67&gt;0,計算!G67,"")</f>
        <v>7</v>
      </c>
      <c r="G68" s="72" t="s">
        <v>54</v>
      </c>
      <c r="H68" s="83" t="s">
        <v>59</v>
      </c>
      <c r="I68" s="91" t="s">
        <v>57</v>
      </c>
      <c r="J68" s="98">
        <f>F68</f>
        <v>7</v>
      </c>
      <c r="K68" s="105" t="s">
        <v>54</v>
      </c>
      <c r="L68" s="115" t="s">
        <v>59</v>
      </c>
      <c r="M68" s="119" t="s">
        <v>57</v>
      </c>
      <c r="N68" s="125">
        <f>F68</f>
        <v>7</v>
      </c>
      <c r="O68" s="129" t="s">
        <v>54</v>
      </c>
      <c r="P68" s="133" t="s">
        <v>59</v>
      </c>
      <c r="Q68" s="139" t="s">
        <v>57</v>
      </c>
      <c r="R68" s="145">
        <f>F68</f>
        <v>7</v>
      </c>
      <c r="S68" s="147" t="s">
        <v>118</v>
      </c>
    </row>
    <row r="69" spans="1:19" ht="32.25" customHeight="1">
      <c r="A69" s="10"/>
      <c r="B69" s="23"/>
      <c r="C69" s="33"/>
      <c r="D69" s="46">
        <f>IF(F68="",0,(D65+D67)*F68/-10)</f>
        <v>-13692</v>
      </c>
      <c r="E69" s="46"/>
      <c r="F69" s="46"/>
      <c r="G69" s="46"/>
      <c r="H69" s="84">
        <f>IF(J68="",0,(H65+H67)*J68/-10)</f>
        <v>-5124</v>
      </c>
      <c r="I69" s="84"/>
      <c r="J69" s="84"/>
      <c r="K69" s="84"/>
      <c r="L69" s="116">
        <f>IF(N68="",0,(L65+L67)*N68/-10)</f>
        <v>0</v>
      </c>
      <c r="M69" s="116"/>
      <c r="N69" s="116"/>
      <c r="O69" s="116"/>
      <c r="P69" s="138">
        <f>IF(R68="",0,(P65+P67)*R68/-10)</f>
        <v>-574</v>
      </c>
      <c r="Q69" s="138"/>
      <c r="R69" s="138"/>
      <c r="S69" s="138"/>
    </row>
    <row r="70" spans="1:19" ht="20.25" customHeight="1">
      <c r="A70" s="7" t="s">
        <v>12</v>
      </c>
      <c r="B70" s="20"/>
      <c r="C70" s="30"/>
      <c r="D70" s="47" t="s">
        <v>113</v>
      </c>
      <c r="E70" s="58"/>
      <c r="F70" s="69" t="str">
        <f>ROUND(計算!F3,4)/10000&amp;"万円"</f>
        <v>67万円</v>
      </c>
      <c r="G70" s="75" t="s">
        <v>30</v>
      </c>
      <c r="H70" s="85" t="s">
        <v>114</v>
      </c>
      <c r="I70" s="93"/>
      <c r="J70" s="99" t="str">
        <f>ROUND(計算!F4,4)/10000&amp;"万円"</f>
        <v>26万円</v>
      </c>
      <c r="K70" s="107" t="s">
        <v>88</v>
      </c>
      <c r="L70" s="117" t="s">
        <v>114</v>
      </c>
      <c r="M70" s="121"/>
      <c r="N70" s="126" t="str">
        <f>ROUND(計算!F5,4)/10000&amp;"万円"</f>
        <v>17万円</v>
      </c>
      <c r="O70" s="131" t="s">
        <v>88</v>
      </c>
      <c r="P70" s="137" t="s">
        <v>114</v>
      </c>
      <c r="Q70" s="143"/>
      <c r="R70" s="139" t="str">
        <f>ROUND(計算!F6,4)/10000&amp;"万円"</f>
        <v>3万円</v>
      </c>
      <c r="S70" s="147" t="s">
        <v>88</v>
      </c>
    </row>
    <row r="71" spans="1:19" ht="32.25" customHeight="1">
      <c r="A71" s="8"/>
      <c r="B71" s="21"/>
      <c r="C71" s="31"/>
      <c r="D71" s="48">
        <f>+IF((D63+D65+D67+D69)&gt;計算!F3,計算!F3,ROUNDDOWN((D63+D65+D67+D69),-1))</f>
        <v>5860</v>
      </c>
      <c r="E71" s="48"/>
      <c r="F71" s="48"/>
      <c r="G71" s="48"/>
      <c r="H71" s="80">
        <f>+IF(H63+H65+H67+H69&gt;計算!F4,計算!F4,ROUNDDOWN((H63+H65+H67+H69),-1))</f>
        <v>2190</v>
      </c>
      <c r="I71" s="80"/>
      <c r="J71" s="80"/>
      <c r="K71" s="80"/>
      <c r="L71" s="112">
        <f>+IF(L63+L65+L67+L69&gt;計算!F5,計算!F5,ROUNDDOWN((L63+L65+L67+L69),-1))</f>
        <v>0</v>
      </c>
      <c r="M71" s="112"/>
      <c r="N71" s="112"/>
      <c r="O71" s="112"/>
      <c r="P71" s="134">
        <f>+IF(P63+P65+P67+P69&gt;計算!F6,計算!F6,ROUNDDOWN((P63+P65+P67+P69),-1))</f>
        <v>240</v>
      </c>
      <c r="Q71" s="134"/>
      <c r="R71" s="134"/>
      <c r="S71" s="134"/>
    </row>
    <row r="72" spans="1:19" s="3" customFormat="1" ht="9.75" customHeight="1">
      <c r="A72" s="11"/>
      <c r="B72" s="11"/>
      <c r="C72" s="11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127"/>
      <c r="O72" s="49"/>
      <c r="P72" s="49"/>
      <c r="Q72" s="49"/>
      <c r="R72" s="49"/>
      <c r="S72" s="49"/>
    </row>
    <row r="73" spans="1:19" s="3" customFormat="1" ht="29.25" customHeight="1">
      <c r="A73" s="11"/>
      <c r="B73" s="11"/>
      <c r="C73" s="11"/>
      <c r="D73" s="49"/>
      <c r="E73" s="49"/>
      <c r="F73" s="49"/>
      <c r="G73" s="49"/>
      <c r="H73" s="86" t="s">
        <v>72</v>
      </c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</row>
    <row r="74" spans="1:19" ht="30" customHeight="1"/>
    <row r="75" spans="1:19" ht="44.25" customHeight="1">
      <c r="B75" s="24" t="s">
        <v>24</v>
      </c>
      <c r="C75" s="34"/>
      <c r="D75" s="50"/>
      <c r="E75" s="59" t="s">
        <v>47</v>
      </c>
      <c r="F75" s="70">
        <f>ROUNDDOWN(SUM(D71:S71),-1)</f>
        <v>8290</v>
      </c>
      <c r="G75" s="76"/>
      <c r="H75" s="87"/>
      <c r="I75" s="94" t="s">
        <v>64</v>
      </c>
      <c r="J75" s="100" t="s">
        <v>119</v>
      </c>
      <c r="K75" s="108"/>
      <c r="L75" s="108"/>
    </row>
    <row r="76" spans="1:19" ht="44.25" customHeight="1">
      <c r="B76" s="25" t="s">
        <v>63</v>
      </c>
      <c r="C76" s="35"/>
      <c r="D76" s="51"/>
      <c r="E76" s="60" t="s">
        <v>47</v>
      </c>
      <c r="F76" s="71">
        <f>ROUNDDOWN(F75/12,0)</f>
        <v>690</v>
      </c>
      <c r="G76" s="77"/>
      <c r="H76" s="88"/>
      <c r="I76" s="95" t="s">
        <v>64</v>
      </c>
      <c r="J76" s="101" t="s">
        <v>74</v>
      </c>
      <c r="K76" s="109"/>
      <c r="L76" s="109"/>
    </row>
    <row r="77" spans="1:19" ht="30.75" customHeight="1"/>
    <row r="78" spans="1:19" ht="30.75" customHeight="1"/>
    <row r="79" spans="1:19" ht="30.75" customHeight="1"/>
  </sheetData>
  <sheetProtection password="C617" sheet="1" objects="1" scenarios="1" selectLockedCells="1"/>
  <mergeCells count="104">
    <mergeCell ref="F18:R18"/>
    <mergeCell ref="F19:R19"/>
    <mergeCell ref="F23:R23"/>
    <mergeCell ref="S40:T40"/>
    <mergeCell ref="D52:E52"/>
    <mergeCell ref="F52:H52"/>
    <mergeCell ref="I52:K52"/>
    <mergeCell ref="L52:M52"/>
    <mergeCell ref="N52:P52"/>
    <mergeCell ref="Q52:S52"/>
    <mergeCell ref="D53:E53"/>
    <mergeCell ref="F53:H53"/>
    <mergeCell ref="I53:K53"/>
    <mergeCell ref="L53:M53"/>
    <mergeCell ref="N53:P53"/>
    <mergeCell ref="Q53:S53"/>
    <mergeCell ref="D54:E54"/>
    <mergeCell ref="F54:H54"/>
    <mergeCell ref="I54:K54"/>
    <mergeCell ref="L54:M54"/>
    <mergeCell ref="N54:P54"/>
    <mergeCell ref="Q54:S54"/>
    <mergeCell ref="D55:E55"/>
    <mergeCell ref="F55:H55"/>
    <mergeCell ref="I55:K55"/>
    <mergeCell ref="L55:M55"/>
    <mergeCell ref="N55:P55"/>
    <mergeCell ref="Q55:S55"/>
    <mergeCell ref="D56:E56"/>
    <mergeCell ref="F56:H56"/>
    <mergeCell ref="I56:K56"/>
    <mergeCell ref="L56:M56"/>
    <mergeCell ref="N56:P56"/>
    <mergeCell ref="Q56:S56"/>
    <mergeCell ref="D57:E57"/>
    <mergeCell ref="F57:H57"/>
    <mergeCell ref="I57:K57"/>
    <mergeCell ref="L57:M57"/>
    <mergeCell ref="N57:P57"/>
    <mergeCell ref="Q57:S57"/>
    <mergeCell ref="D58:E58"/>
    <mergeCell ref="F58:H58"/>
    <mergeCell ref="I58:K58"/>
    <mergeCell ref="L58:M58"/>
    <mergeCell ref="N58:P58"/>
    <mergeCell ref="Q58:S58"/>
    <mergeCell ref="D59:E59"/>
    <mergeCell ref="F59:H59"/>
    <mergeCell ref="I59:K59"/>
    <mergeCell ref="L59:M59"/>
    <mergeCell ref="N59:P59"/>
    <mergeCell ref="Q59:S59"/>
    <mergeCell ref="D61:G61"/>
    <mergeCell ref="H61:K61"/>
    <mergeCell ref="L61:O61"/>
    <mergeCell ref="P61:S61"/>
    <mergeCell ref="D63:G63"/>
    <mergeCell ref="H63:K63"/>
    <mergeCell ref="L63:O63"/>
    <mergeCell ref="P63:S63"/>
    <mergeCell ref="D65:G65"/>
    <mergeCell ref="H65:K65"/>
    <mergeCell ref="L65:O65"/>
    <mergeCell ref="P65:S65"/>
    <mergeCell ref="E66:G66"/>
    <mergeCell ref="I66:K66"/>
    <mergeCell ref="M66:O66"/>
    <mergeCell ref="Q66:S66"/>
    <mergeCell ref="D67:G67"/>
    <mergeCell ref="H67:K67"/>
    <mergeCell ref="L67:O67"/>
    <mergeCell ref="P67:S67"/>
    <mergeCell ref="D69:G69"/>
    <mergeCell ref="H69:K69"/>
    <mergeCell ref="L69:O69"/>
    <mergeCell ref="P69:S69"/>
    <mergeCell ref="D70:E70"/>
    <mergeCell ref="H70:I70"/>
    <mergeCell ref="L70:M70"/>
    <mergeCell ref="P70:Q70"/>
    <mergeCell ref="D71:G71"/>
    <mergeCell ref="H71:K71"/>
    <mergeCell ref="L71:O71"/>
    <mergeCell ref="P71:S71"/>
    <mergeCell ref="H73:S73"/>
    <mergeCell ref="B75:D75"/>
    <mergeCell ref="F75:H75"/>
    <mergeCell ref="B76:D76"/>
    <mergeCell ref="F76:H76"/>
    <mergeCell ref="B9:D10"/>
    <mergeCell ref="F9:R10"/>
    <mergeCell ref="B12:D13"/>
    <mergeCell ref="F12:R13"/>
    <mergeCell ref="B15:D16"/>
    <mergeCell ref="F15:R16"/>
    <mergeCell ref="B18:D23"/>
    <mergeCell ref="F20:R22"/>
    <mergeCell ref="B25:D26"/>
    <mergeCell ref="F25:R26"/>
    <mergeCell ref="A62:C63"/>
    <mergeCell ref="A64:C65"/>
    <mergeCell ref="A66:C67"/>
    <mergeCell ref="A68:C69"/>
    <mergeCell ref="A70:C71"/>
  </mergeCells>
  <phoneticPr fontId="2"/>
  <pageMargins left="0.43307086614173229" right="0.23622047244094491" top="0.74803149606299213" bottom="0.35433070866141736" header="0.31496062992125984" footer="0.31496062992125984"/>
  <pageSetup paperSize="9" scale="69" fitToWidth="1" fitToHeight="0" orientation="portrait" usePrinterDefaults="1" r:id="rId1"/>
  <headerFooter>
    <oddHeader>&amp;L試算日：&amp;D</oddHeader>
  </headerFooter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62" r:id="rId4" name="チェック 14">
              <controlPr locked="0" defaultSize="0" autoFill="0" autoLine="0" autoPict="0">
                <anchor moveWithCells="1">
                  <from xmlns:xdr="http://schemas.openxmlformats.org/drawingml/2006/spreadsheetDrawing">
                    <xdr:col>19</xdr:col>
                    <xdr:colOff>176530</xdr:colOff>
                    <xdr:row>52</xdr:row>
                    <xdr:rowOff>0</xdr:rowOff>
                  </from>
                  <to xmlns:xdr="http://schemas.openxmlformats.org/drawingml/2006/spreadsheetDrawing">
                    <xdr:col>20</xdr:col>
                    <xdr:colOff>22225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>
          <mc:Choice Requires="x14">
            <control shapeId="2063" r:id="rId5" name="チェック 15">
              <controlPr locked="0" defaultSize="0" autoFill="0" autoLine="0" autoPict="0">
                <anchor moveWithCells="1">
                  <from xmlns:xdr="http://schemas.openxmlformats.org/drawingml/2006/spreadsheetDrawing">
                    <xdr:col>19</xdr:col>
                    <xdr:colOff>176530</xdr:colOff>
                    <xdr:row>53</xdr:row>
                    <xdr:rowOff>0</xdr:rowOff>
                  </from>
                  <to xmlns:xdr="http://schemas.openxmlformats.org/drawingml/2006/spreadsheetDrawing">
                    <xdr:col>20</xdr:col>
                    <xdr:colOff>22225</xdr:colOff>
                    <xdr:row>53</xdr:row>
                    <xdr:rowOff>238125</xdr:rowOff>
                  </to>
                </anchor>
              </controlPr>
            </control>
          </mc:Choice>
        </mc:AlternateContent>
        <mc:AlternateContent>
          <mc:Choice Requires="x14">
            <control shapeId="2064" r:id="rId6" name="チェック 16">
              <controlPr locked="0" defaultSize="0" autoFill="0" autoLine="0" autoPict="0">
                <anchor moveWithCells="1">
                  <from xmlns:xdr="http://schemas.openxmlformats.org/drawingml/2006/spreadsheetDrawing">
                    <xdr:col>19</xdr:col>
                    <xdr:colOff>176530</xdr:colOff>
                    <xdr:row>54</xdr:row>
                    <xdr:rowOff>0</xdr:rowOff>
                  </from>
                  <to xmlns:xdr="http://schemas.openxmlformats.org/drawingml/2006/spreadsheetDrawing">
                    <xdr:col>20</xdr:col>
                    <xdr:colOff>22225</xdr:colOff>
                    <xdr:row>54</xdr:row>
                    <xdr:rowOff>238125</xdr:rowOff>
                  </to>
                </anchor>
              </controlPr>
            </control>
          </mc:Choice>
        </mc:AlternateContent>
        <mc:AlternateContent>
          <mc:Choice Requires="x14">
            <control shapeId="2065" r:id="rId7" name="チェック 17">
              <controlPr locked="0" defaultSize="0" autoFill="0" autoLine="0" autoPict="0">
                <anchor moveWithCells="1">
                  <from xmlns:xdr="http://schemas.openxmlformats.org/drawingml/2006/spreadsheetDrawing">
                    <xdr:col>19</xdr:col>
                    <xdr:colOff>176530</xdr:colOff>
                    <xdr:row>55</xdr:row>
                    <xdr:rowOff>0</xdr:rowOff>
                  </from>
                  <to xmlns:xdr="http://schemas.openxmlformats.org/drawingml/2006/spreadsheetDrawing">
                    <xdr:col>20</xdr:col>
                    <xdr:colOff>22225</xdr:colOff>
                    <xdr:row>55</xdr:row>
                    <xdr:rowOff>238125</xdr:rowOff>
                  </to>
                </anchor>
              </controlPr>
            </control>
          </mc:Choice>
        </mc:AlternateContent>
        <mc:AlternateContent>
          <mc:Choice Requires="x14">
            <control shapeId="2066" r:id="rId8" name="チェック 18">
              <controlPr locked="0" defaultSize="0" autoFill="0" autoLine="0" autoPict="0">
                <anchor moveWithCells="1">
                  <from xmlns:xdr="http://schemas.openxmlformats.org/drawingml/2006/spreadsheetDrawing">
                    <xdr:col>19</xdr:col>
                    <xdr:colOff>176530</xdr:colOff>
                    <xdr:row>56</xdr:row>
                    <xdr:rowOff>0</xdr:rowOff>
                  </from>
                  <to xmlns:xdr="http://schemas.openxmlformats.org/drawingml/2006/spreadsheetDrawing">
                    <xdr:col>20</xdr:col>
                    <xdr:colOff>22225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>
          <mc:Choice Requires="x14">
            <control shapeId="2067" r:id="rId9" name="チェック 19">
              <controlPr locked="0" defaultSize="0" autoFill="0" autoLine="0" autoPict="0">
                <anchor moveWithCells="1">
                  <from xmlns:xdr="http://schemas.openxmlformats.org/drawingml/2006/spreadsheetDrawing">
                    <xdr:col>19</xdr:col>
                    <xdr:colOff>176530</xdr:colOff>
                    <xdr:row>57</xdr:row>
                    <xdr:rowOff>0</xdr:rowOff>
                  </from>
                  <to xmlns:xdr="http://schemas.openxmlformats.org/drawingml/2006/spreadsheetDrawing">
                    <xdr:col>20</xdr:col>
                    <xdr:colOff>22225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>
          <mc:Choice Requires="x14">
            <control shapeId="2068" r:id="rId10" name="チェック 20">
              <controlPr locked="0" defaultSize="0" autoFill="0" autoLine="0" autoPict="0">
                <anchor moveWithCells="1">
                  <from xmlns:xdr="http://schemas.openxmlformats.org/drawingml/2006/spreadsheetDrawing">
                    <xdr:col>19</xdr:col>
                    <xdr:colOff>176530</xdr:colOff>
                    <xdr:row>58</xdr:row>
                    <xdr:rowOff>0</xdr:rowOff>
                  </from>
                  <to xmlns:xdr="http://schemas.openxmlformats.org/drawingml/2006/spreadsheetDrawing">
                    <xdr:col>20</xdr:col>
                    <xdr:colOff>22225</xdr:colOff>
                    <xdr:row>58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DropDown="0" showInputMessage="1" showErrorMessage="1">
          <x14:formula1>
            <xm:f>計算!$A$13:$A$14</xm:f>
          </x14:formula1>
          <xm:sqref>B53</xm:sqref>
        </x14:dataValidation>
        <x14:dataValidation type="list" allowBlank="1" showDropDown="0" showInputMessage="1" showErrorMessage="1">
          <x14:formula1>
            <xm:f>計算!$B$12:$B$18</xm:f>
          </x14:formula1>
          <xm:sqref>B53</xm:sqref>
        </x14:dataValidation>
        <x14:dataValidation type="list" allowBlank="1" showDropDown="0" showInputMessage="1" showErrorMessage="1">
          <x14:formula1>
            <xm:f>計算!$B$13:$B$18</xm:f>
          </x14:formula1>
          <xm:sqref>D53</xm:sqref>
        </x14:dataValidation>
        <x14:dataValidation type="list" allowBlank="1" showDropDown="0" showInputMessage="1" showErrorMessage="1">
          <x14:formula1>
            <xm:f>計算!$B$14:$B$18</xm:f>
          </x14:formula1>
          <xm:sqref>D54:D59</xm:sqref>
        </x14:dataValidation>
        <x14:dataValidation type="list" allowBlank="1" showDropDown="0" showInputMessage="1" showErrorMessage="1">
          <x14:formula1>
            <xm:f>計算!$A$16:$A$17</xm:f>
          </x14:formula1>
          <xm:sqref>C53:C59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2:P93"/>
  <sheetViews>
    <sheetView topLeftCell="A64" zoomScale="85" zoomScaleNormal="85" workbookViewId="0">
      <selection activeCell="L77" sqref="L77:M77"/>
    </sheetView>
  </sheetViews>
  <sheetFormatPr defaultRowHeight="18.75"/>
  <cols>
    <col min="1" max="1" width="11.125" customWidth="1"/>
    <col min="2" max="2" width="10.875" customWidth="1"/>
    <col min="3" max="3" width="6.75" customWidth="1"/>
    <col min="4" max="4" width="10.5" customWidth="1"/>
    <col min="5" max="5" width="10.625" customWidth="1"/>
    <col min="6" max="14" width="10" customWidth="1"/>
    <col min="16" max="16" width="9.375" bestFit="1" customWidth="1"/>
  </cols>
  <sheetData>
    <row r="1" spans="1:6" ht="19.5"/>
    <row r="2" spans="1:6">
      <c r="A2" s="154"/>
      <c r="B2" s="177" t="s">
        <v>35</v>
      </c>
      <c r="C2" s="194" t="s">
        <v>37</v>
      </c>
      <c r="D2" s="206"/>
      <c r="E2" s="177" t="s">
        <v>52</v>
      </c>
      <c r="F2" s="224" t="s">
        <v>66</v>
      </c>
    </row>
    <row r="3" spans="1:6">
      <c r="A3" s="155" t="s">
        <v>0</v>
      </c>
      <c r="B3" s="178">
        <v>7.980000000000001e-002</v>
      </c>
      <c r="C3" s="195">
        <v>31380</v>
      </c>
      <c r="D3" s="207"/>
      <c r="E3" s="196">
        <v>19560</v>
      </c>
      <c r="F3" s="225">
        <v>670000</v>
      </c>
    </row>
    <row r="4" spans="1:6">
      <c r="A4" s="155" t="s">
        <v>65</v>
      </c>
      <c r="B4" s="178">
        <v>2.6099999999999998e-002</v>
      </c>
      <c r="C4" s="195">
        <v>11560</v>
      </c>
      <c r="D4" s="207"/>
      <c r="E4" s="196">
        <v>7320</v>
      </c>
      <c r="F4" s="225">
        <v>260000</v>
      </c>
    </row>
    <row r="5" spans="1:6">
      <c r="A5" s="155" t="s">
        <v>44</v>
      </c>
      <c r="B5" s="178">
        <v>2.3799999999999998e-002</v>
      </c>
      <c r="C5" s="195">
        <v>11280</v>
      </c>
      <c r="D5" s="207"/>
      <c r="E5" s="196">
        <v>5640</v>
      </c>
      <c r="F5" s="225">
        <v>170000</v>
      </c>
    </row>
    <row r="6" spans="1:6">
      <c r="A6" s="155" t="s">
        <v>116</v>
      </c>
      <c r="B6" s="178">
        <v>2.8000000000000004e-003</v>
      </c>
      <c r="C6" s="196">
        <v>1200</v>
      </c>
      <c r="D6" s="196">
        <v>60</v>
      </c>
      <c r="E6" s="196">
        <v>820</v>
      </c>
      <c r="F6" s="225">
        <v>30000</v>
      </c>
    </row>
    <row r="7" spans="1:6">
      <c r="A7" s="156" t="s">
        <v>110</v>
      </c>
      <c r="B7" s="179"/>
      <c r="C7" s="179"/>
      <c r="D7" s="190"/>
      <c r="E7" s="195">
        <v>1</v>
      </c>
      <c r="F7" s="226"/>
    </row>
    <row r="8" spans="1:6">
      <c r="A8" s="156" t="s">
        <v>111</v>
      </c>
      <c r="B8" s="179"/>
      <c r="C8" s="179"/>
      <c r="D8" s="190"/>
      <c r="E8" s="195">
        <v>310000</v>
      </c>
      <c r="F8" s="226"/>
    </row>
    <row r="9" spans="1:6" ht="19.5">
      <c r="A9" s="157" t="s">
        <v>112</v>
      </c>
      <c r="B9" s="180"/>
      <c r="C9" s="180"/>
      <c r="D9" s="208"/>
      <c r="E9" s="211">
        <v>570000</v>
      </c>
      <c r="F9" s="227"/>
    </row>
    <row r="11" spans="1:6" ht="19.5"/>
    <row r="12" spans="1:6">
      <c r="A12" s="158" t="s">
        <v>120</v>
      </c>
      <c r="B12" s="181"/>
      <c r="C12" s="181"/>
      <c r="D12" s="181"/>
      <c r="E12" s="212"/>
    </row>
    <row r="13" spans="1:6">
      <c r="A13" s="159" t="s">
        <v>92</v>
      </c>
      <c r="B13" s="162" t="s">
        <v>27</v>
      </c>
      <c r="E13" s="213"/>
    </row>
    <row r="14" spans="1:6" ht="18.75" customHeight="1">
      <c r="A14" s="160" t="s">
        <v>93</v>
      </c>
      <c r="B14" s="182" t="s">
        <v>13</v>
      </c>
      <c r="E14" s="213"/>
    </row>
    <row r="15" spans="1:6">
      <c r="A15" s="161"/>
      <c r="B15" s="182" t="s">
        <v>11</v>
      </c>
      <c r="E15" s="213"/>
    </row>
    <row r="16" spans="1:6">
      <c r="A16" s="162" t="s">
        <v>25</v>
      </c>
      <c r="B16" s="182" t="s">
        <v>33</v>
      </c>
      <c r="C16" s="52"/>
      <c r="E16" s="213"/>
    </row>
    <row r="17" spans="1:16">
      <c r="A17" s="163" t="s">
        <v>26</v>
      </c>
      <c r="B17" s="183" t="s">
        <v>70</v>
      </c>
      <c r="C17" s="52"/>
      <c r="E17" s="213"/>
    </row>
    <row r="18" spans="1:16" ht="19.5">
      <c r="A18" s="164"/>
      <c r="B18" s="184" t="s">
        <v>91</v>
      </c>
      <c r="C18" s="197"/>
      <c r="D18" s="185"/>
      <c r="E18" s="214"/>
    </row>
    <row r="19" spans="1:16" ht="19.5">
      <c r="C19" s="185"/>
    </row>
    <row r="20" spans="1:16" ht="19.5">
      <c r="A20" s="165" t="s">
        <v>18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212"/>
    </row>
    <row r="21" spans="1:16">
      <c r="A21" s="161"/>
      <c r="M21" s="213"/>
    </row>
    <row r="22" spans="1:16">
      <c r="A22" s="161" t="s">
        <v>6</v>
      </c>
      <c r="F22" s="166" t="s">
        <v>31</v>
      </c>
      <c r="G22" s="166">
        <v>1</v>
      </c>
      <c r="H22" s="166">
        <v>2</v>
      </c>
      <c r="I22" s="166">
        <v>3</v>
      </c>
      <c r="J22" s="166">
        <v>4</v>
      </c>
      <c r="K22" s="166">
        <v>5</v>
      </c>
      <c r="L22" s="166">
        <v>6</v>
      </c>
      <c r="M22" s="213"/>
    </row>
    <row r="23" spans="1:16">
      <c r="A23" s="166" t="s">
        <v>125</v>
      </c>
      <c r="B23" s="166"/>
      <c r="C23" s="166"/>
      <c r="D23" s="166"/>
      <c r="E23" s="215" t="s">
        <v>32</v>
      </c>
      <c r="F23" s="220" t="str">
        <f>IF('R8試算シート'!F53="","",'R8試算シート'!F53)</f>
        <v/>
      </c>
      <c r="G23" s="220" t="str">
        <f>IF('R8試算シート'!F54="","",'R8試算シート'!F54)</f>
        <v/>
      </c>
      <c r="H23" s="220" t="str">
        <f>IF('R8試算シート'!F55="","",'R8試算シート'!F55)</f>
        <v/>
      </c>
      <c r="I23" s="220" t="str">
        <f>IF('R8試算シート'!F56="","",'R8試算シート'!F56)</f>
        <v/>
      </c>
      <c r="J23" s="220" t="str">
        <f>IF('R8試算シート'!F57="","",'R8試算シート'!F57)</f>
        <v/>
      </c>
      <c r="K23" s="220" t="str">
        <f>IF('R8試算シート'!F58="","",'R8試算シート'!F58)</f>
        <v/>
      </c>
      <c r="L23" s="220" t="str">
        <f>IF('R8試算シート'!F59="","",'R8試算シート'!F59)</f>
        <v/>
      </c>
      <c r="M23" s="213"/>
    </row>
    <row r="24" spans="1:16">
      <c r="A24" s="167">
        <v>1</v>
      </c>
      <c r="B24" s="166" t="s">
        <v>21</v>
      </c>
      <c r="C24" s="198">
        <v>650999</v>
      </c>
      <c r="D24" s="198"/>
      <c r="F24" s="193">
        <f t="shared" ref="F24:L24" si="0">IF(F23&lt;=$C$24,0,0)</f>
        <v>0</v>
      </c>
      <c r="G24" s="193">
        <f t="shared" si="0"/>
        <v>0</v>
      </c>
      <c r="H24" s="193">
        <f t="shared" si="0"/>
        <v>0</v>
      </c>
      <c r="I24" s="193">
        <f t="shared" si="0"/>
        <v>0</v>
      </c>
      <c r="J24" s="193">
        <f t="shared" si="0"/>
        <v>0</v>
      </c>
      <c r="K24" s="193">
        <f t="shared" si="0"/>
        <v>0</v>
      </c>
      <c r="L24" s="193">
        <f t="shared" si="0"/>
        <v>0</v>
      </c>
      <c r="M24" s="213"/>
    </row>
    <row r="25" spans="1:16">
      <c r="A25" s="168">
        <v>651000</v>
      </c>
      <c r="B25" s="166" t="s">
        <v>21</v>
      </c>
      <c r="C25" s="198">
        <v>1899999</v>
      </c>
      <c r="D25" s="198"/>
      <c r="F25" s="193">
        <f t="shared" ref="F25:L25" si="1">IF(AND(F23&gt;=$A$25,F23&lt;=$C$25),F23-650000,0)</f>
        <v>0</v>
      </c>
      <c r="G25" s="193">
        <f t="shared" si="1"/>
        <v>0</v>
      </c>
      <c r="H25" s="193">
        <f t="shared" si="1"/>
        <v>0</v>
      </c>
      <c r="I25" s="193">
        <f t="shared" si="1"/>
        <v>0</v>
      </c>
      <c r="J25" s="193">
        <f t="shared" si="1"/>
        <v>0</v>
      </c>
      <c r="K25" s="193">
        <f t="shared" si="1"/>
        <v>0</v>
      </c>
      <c r="L25" s="193">
        <f t="shared" si="1"/>
        <v>0</v>
      </c>
      <c r="M25" s="213"/>
    </row>
    <row r="26" spans="1:16">
      <c r="A26" s="168">
        <v>1900000</v>
      </c>
      <c r="B26" s="166" t="s">
        <v>21</v>
      </c>
      <c r="C26" s="198">
        <v>3599999</v>
      </c>
      <c r="D26" s="198"/>
      <c r="F26" s="193">
        <f t="shared" ref="F26:L26" si="2">IF(AND(F23&gt;=$A$26,F23&lt;=$C$26),ROUNDDOWN(F23/4,-3)*2.8-80000,0)</f>
        <v>0</v>
      </c>
      <c r="G26" s="193">
        <f t="shared" si="2"/>
        <v>0</v>
      </c>
      <c r="H26" s="193">
        <f t="shared" si="2"/>
        <v>0</v>
      </c>
      <c r="I26" s="193">
        <f t="shared" si="2"/>
        <v>0</v>
      </c>
      <c r="J26" s="193">
        <f t="shared" si="2"/>
        <v>0</v>
      </c>
      <c r="K26" s="193">
        <f t="shared" si="2"/>
        <v>0</v>
      </c>
      <c r="L26" s="193">
        <f t="shared" si="2"/>
        <v>0</v>
      </c>
      <c r="M26" s="213"/>
    </row>
    <row r="27" spans="1:16">
      <c r="A27" s="168">
        <v>3600000</v>
      </c>
      <c r="B27" s="166" t="s">
        <v>21</v>
      </c>
      <c r="C27" s="198">
        <v>6599999</v>
      </c>
      <c r="D27" s="198"/>
      <c r="F27" s="193">
        <f t="shared" ref="F27:L27" si="3">IF(AND(F23&gt;=$A$27,F23&lt;=$C$27),ROUNDDOWN(F23/4,-3)*3.2-440000,0)</f>
        <v>0</v>
      </c>
      <c r="G27" s="193">
        <f t="shared" si="3"/>
        <v>0</v>
      </c>
      <c r="H27" s="193">
        <f t="shared" si="3"/>
        <v>0</v>
      </c>
      <c r="I27" s="193">
        <f t="shared" si="3"/>
        <v>0</v>
      </c>
      <c r="J27" s="193">
        <f t="shared" si="3"/>
        <v>0</v>
      </c>
      <c r="K27" s="193">
        <f t="shared" si="3"/>
        <v>0</v>
      </c>
      <c r="L27" s="193">
        <f t="shared" si="3"/>
        <v>0</v>
      </c>
      <c r="M27" s="213"/>
    </row>
    <row r="28" spans="1:16">
      <c r="A28" s="168">
        <v>6600000</v>
      </c>
      <c r="B28" s="166" t="s">
        <v>21</v>
      </c>
      <c r="C28" s="198">
        <v>8499999</v>
      </c>
      <c r="D28" s="198"/>
      <c r="F28" s="193">
        <f t="shared" ref="F28:L28" si="4">IF(AND(F23&gt;=$A$28,F23&lt;=$C$28),ROUNDDOWN(F23*0.9,0)-1100000,0)</f>
        <v>0</v>
      </c>
      <c r="G28" s="193">
        <f t="shared" si="4"/>
        <v>0</v>
      </c>
      <c r="H28" s="193">
        <f t="shared" si="4"/>
        <v>0</v>
      </c>
      <c r="I28" s="193">
        <f t="shared" si="4"/>
        <v>0</v>
      </c>
      <c r="J28" s="193">
        <f t="shared" si="4"/>
        <v>0</v>
      </c>
      <c r="K28" s="193">
        <f t="shared" si="4"/>
        <v>0</v>
      </c>
      <c r="L28" s="193">
        <f t="shared" si="4"/>
        <v>0</v>
      </c>
      <c r="M28" s="213"/>
    </row>
    <row r="29" spans="1:16">
      <c r="A29" s="168">
        <v>8500000</v>
      </c>
      <c r="B29" s="166" t="s">
        <v>21</v>
      </c>
      <c r="C29" s="166"/>
      <c r="D29" s="166"/>
      <c r="F29" s="193">
        <f>IFERROR(IF($F$23&gt;=$A$29,$F$23-1950000,0),0)</f>
        <v>0</v>
      </c>
      <c r="G29" s="193">
        <f>IFERROR(IF($G$23&gt;=$A$29,$G$23-1950000,0),0)</f>
        <v>0</v>
      </c>
      <c r="H29" s="193">
        <f>IFERROR(IF($H$23&gt;=$A$29,$H$23-1950000,0),0)</f>
        <v>0</v>
      </c>
      <c r="I29" s="193">
        <f>IFERROR(IF($I$23&gt;=$A$29,$I$23-1950000,0),0)</f>
        <v>0</v>
      </c>
      <c r="J29" s="193">
        <f>IFERROR(IF($J$23&gt;=$A$29,$J$23-1950000,0),0)</f>
        <v>0</v>
      </c>
      <c r="K29" s="193">
        <f>IFERROR(IF($K$23&gt;=$A$29,$K$23-1950000,0),0)</f>
        <v>0</v>
      </c>
      <c r="L29" s="193">
        <f>IFERROR(IF($L$23&gt;=$A$29,$L$23-1950000,0),0)</f>
        <v>0</v>
      </c>
      <c r="M29" s="213"/>
    </row>
    <row r="30" spans="1:16">
      <c r="A30" s="161"/>
      <c r="E30" s="215" t="s">
        <v>35</v>
      </c>
      <c r="F30" s="220">
        <f t="shared" ref="F30:L30" si="5">SUM(F24:F29)</f>
        <v>0</v>
      </c>
      <c r="G30" s="220">
        <f t="shared" si="5"/>
        <v>0</v>
      </c>
      <c r="H30" s="220">
        <f t="shared" si="5"/>
        <v>0</v>
      </c>
      <c r="I30" s="220">
        <f t="shared" si="5"/>
        <v>0</v>
      </c>
      <c r="J30" s="220">
        <f t="shared" si="5"/>
        <v>0</v>
      </c>
      <c r="K30" s="220">
        <f t="shared" si="5"/>
        <v>0</v>
      </c>
      <c r="L30" s="220">
        <f t="shared" si="5"/>
        <v>0</v>
      </c>
      <c r="M30" s="213"/>
      <c r="P30" s="255"/>
    </row>
    <row r="31" spans="1:16">
      <c r="E31" s="215"/>
      <c r="F31" s="228" t="s">
        <v>81</v>
      </c>
      <c r="G31" s="228"/>
      <c r="H31" s="228" t="s">
        <v>81</v>
      </c>
      <c r="I31" s="228" t="s">
        <v>81</v>
      </c>
      <c r="J31" s="228" t="s">
        <v>81</v>
      </c>
      <c r="K31" s="228" t="s">
        <v>81</v>
      </c>
      <c r="L31" s="228" t="s">
        <v>81</v>
      </c>
      <c r="M31" s="213"/>
      <c r="P31" s="255"/>
    </row>
    <row r="32" spans="1:16">
      <c r="A32" s="161"/>
      <c r="E32" s="215" t="s">
        <v>103</v>
      </c>
      <c r="F32" s="229">
        <f>IF(計算!C74=TRUE,計算!F30*0.3,計算!F30)</f>
        <v>0</v>
      </c>
      <c r="G32" s="229">
        <f>IF(計算!C75=TRUE,計算!G30*0.3,計算!G30)</f>
        <v>0</v>
      </c>
      <c r="H32" s="229">
        <f>IF(計算!C76=TRUE,計算!H30*0.3,計算!H30)</f>
        <v>0</v>
      </c>
      <c r="I32" s="229">
        <f>IF(計算!C77=TRUE,計算!I30*0.3,計算!I30)</f>
        <v>0</v>
      </c>
      <c r="J32" s="229">
        <f>IF(計算!C78=TRUE,計算!J30*0.3,計算!J30)</f>
        <v>0</v>
      </c>
      <c r="K32" s="229">
        <f>IF(計算!C79=TRUE,計算!K30*0.3,計算!K30)</f>
        <v>0</v>
      </c>
      <c r="L32" s="229">
        <f>IF(計算!C80=TRUE,計算!L30*0.3,計算!L30)</f>
        <v>0</v>
      </c>
      <c r="M32" s="213"/>
      <c r="P32" s="255"/>
    </row>
    <row r="33" spans="1:16">
      <c r="A33" s="161"/>
      <c r="E33" s="215"/>
      <c r="F33" s="228" t="s">
        <v>81</v>
      </c>
      <c r="G33" s="228" t="s">
        <v>81</v>
      </c>
      <c r="H33" s="228" t="s">
        <v>81</v>
      </c>
      <c r="I33" s="228" t="s">
        <v>81</v>
      </c>
      <c r="J33" s="228" t="s">
        <v>81</v>
      </c>
      <c r="K33" s="228" t="s">
        <v>81</v>
      </c>
      <c r="L33" s="228" t="s">
        <v>81</v>
      </c>
      <c r="M33" s="213"/>
      <c r="P33" s="255"/>
    </row>
    <row r="34" spans="1:16">
      <c r="A34" s="161"/>
      <c r="E34" s="215" t="s">
        <v>104</v>
      </c>
      <c r="F34" s="230">
        <f t="shared" ref="F34:L34" si="6">MIN(F32,100000)+MIN(H55,100000)-100000</f>
        <v>-100000</v>
      </c>
      <c r="G34" s="230">
        <f t="shared" si="6"/>
        <v>-100000</v>
      </c>
      <c r="H34" s="230">
        <f t="shared" si="6"/>
        <v>-100000</v>
      </c>
      <c r="I34" s="230">
        <f t="shared" si="6"/>
        <v>-100000</v>
      </c>
      <c r="J34" s="230">
        <f t="shared" si="6"/>
        <v>-100000</v>
      </c>
      <c r="K34" s="230">
        <f t="shared" si="6"/>
        <v>-100000</v>
      </c>
      <c r="L34" s="230">
        <f t="shared" si="6"/>
        <v>-100000</v>
      </c>
      <c r="M34" s="213"/>
      <c r="P34" s="255"/>
    </row>
    <row r="35" spans="1:16">
      <c r="A35" s="161"/>
      <c r="E35" s="215"/>
      <c r="F35" s="228" t="s">
        <v>81</v>
      </c>
      <c r="G35" s="228" t="s">
        <v>81</v>
      </c>
      <c r="H35" s="228" t="s">
        <v>81</v>
      </c>
      <c r="I35" s="228" t="s">
        <v>81</v>
      </c>
      <c r="J35" s="228" t="s">
        <v>81</v>
      </c>
      <c r="K35" s="228" t="s">
        <v>81</v>
      </c>
      <c r="L35" s="228" t="s">
        <v>81</v>
      </c>
      <c r="M35" s="213"/>
      <c r="P35" s="255"/>
    </row>
    <row r="36" spans="1:16">
      <c r="A36" s="161"/>
      <c r="E36" s="215" t="s">
        <v>105</v>
      </c>
      <c r="F36" s="231">
        <f t="shared" ref="F36:L36" si="7">IF(AND(F32+H55&gt;=100000,F32&gt;0,H55&gt;0),F32-F34,F32)</f>
        <v>0</v>
      </c>
      <c r="G36" s="231">
        <f t="shared" si="7"/>
        <v>0</v>
      </c>
      <c r="H36" s="231">
        <f t="shared" si="7"/>
        <v>0</v>
      </c>
      <c r="I36" s="231">
        <f t="shared" si="7"/>
        <v>0</v>
      </c>
      <c r="J36" s="231">
        <f t="shared" si="7"/>
        <v>0</v>
      </c>
      <c r="K36" s="231">
        <f t="shared" si="7"/>
        <v>0</v>
      </c>
      <c r="L36" s="231">
        <f t="shared" si="7"/>
        <v>0</v>
      </c>
      <c r="M36" s="213"/>
      <c r="P36" s="255"/>
    </row>
    <row r="37" spans="1:16">
      <c r="A37" s="161"/>
      <c r="E37" s="215"/>
      <c r="F37" s="232"/>
      <c r="G37" s="232"/>
      <c r="H37" s="232"/>
      <c r="I37" s="232"/>
      <c r="J37" s="232"/>
      <c r="K37" s="232"/>
      <c r="L37" s="232"/>
      <c r="M37" s="213"/>
      <c r="P37" s="255"/>
    </row>
    <row r="38" spans="1:16" ht="19.5">
      <c r="A38" s="164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214"/>
    </row>
    <row r="39" spans="1:16" ht="19.5"/>
    <row r="40" spans="1:16" ht="19.5">
      <c r="A40" s="165" t="s">
        <v>40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212"/>
    </row>
    <row r="41" spans="1:16">
      <c r="A41" s="161"/>
      <c r="H41" s="166" t="s">
        <v>31</v>
      </c>
      <c r="I41" s="166">
        <v>1</v>
      </c>
      <c r="J41" s="166">
        <v>2</v>
      </c>
      <c r="K41" s="166">
        <v>3</v>
      </c>
      <c r="L41" s="166">
        <v>4</v>
      </c>
      <c r="M41" s="166">
        <v>5</v>
      </c>
      <c r="N41" s="166">
        <v>6</v>
      </c>
      <c r="O41" s="213"/>
    </row>
    <row r="42" spans="1:16">
      <c r="A42" s="161"/>
      <c r="G42" s="204" t="s">
        <v>32</v>
      </c>
      <c r="H42" s="229">
        <f>'R8試算シート'!I53</f>
        <v>0</v>
      </c>
      <c r="I42" s="229">
        <f>'R8試算シート'!I54</f>
        <v>0</v>
      </c>
      <c r="J42" s="229">
        <f>'R8試算シート'!I55</f>
        <v>0</v>
      </c>
      <c r="K42" s="229">
        <f>'R8試算シート'!I56</f>
        <v>0</v>
      </c>
      <c r="L42" s="229">
        <f>'R8試算シート'!I57</f>
        <v>0</v>
      </c>
      <c r="M42" s="229">
        <f>'R8試算シート'!I58</f>
        <v>0</v>
      </c>
      <c r="N42" s="229">
        <f>'R8試算シート'!I59</f>
        <v>0</v>
      </c>
      <c r="O42" s="213"/>
    </row>
    <row r="43" spans="1:16">
      <c r="A43" s="169" t="s">
        <v>22</v>
      </c>
      <c r="B43" s="186" t="s">
        <v>126</v>
      </c>
      <c r="C43" s="199"/>
      <c r="D43" s="199"/>
      <c r="E43" s="216"/>
      <c r="G43" s="204" t="s">
        <v>38</v>
      </c>
      <c r="H43" s="229">
        <f>'R8試算シート'!$C53</f>
        <v>0</v>
      </c>
      <c r="I43" s="229">
        <f>'R8試算シート'!$C54</f>
        <v>0</v>
      </c>
      <c r="J43" s="229">
        <f>'R8試算シート'!$C55</f>
        <v>0</v>
      </c>
      <c r="K43" s="229">
        <f>'R8試算シート'!$C56</f>
        <v>0</v>
      </c>
      <c r="L43" s="229">
        <f>'R8試算シート'!$C57</f>
        <v>0</v>
      </c>
      <c r="M43" s="229">
        <f>'R8試算シート'!$C58</f>
        <v>0</v>
      </c>
      <c r="N43" s="229">
        <f>'R8試算シート'!$C59</f>
        <v>0</v>
      </c>
      <c r="O43" s="213"/>
    </row>
    <row r="44" spans="1:16">
      <c r="A44" s="170" t="s">
        <v>25</v>
      </c>
      <c r="B44" s="187">
        <v>1</v>
      </c>
      <c r="C44" s="200" t="s">
        <v>21</v>
      </c>
      <c r="D44" s="200">
        <v>3299999</v>
      </c>
      <c r="E44" s="217"/>
      <c r="G44" s="235" t="s">
        <v>25</v>
      </c>
      <c r="H44" s="230">
        <f t="shared" ref="H44:N44" si="8">IF(AND(H$43=$A$16,H$42&gt;=$B$44,H$42&lt;=$D$44),1100000,0)</f>
        <v>0</v>
      </c>
      <c r="I44" s="230">
        <f t="shared" si="8"/>
        <v>0</v>
      </c>
      <c r="J44" s="230">
        <f t="shared" si="8"/>
        <v>0</v>
      </c>
      <c r="K44" s="230">
        <f t="shared" si="8"/>
        <v>0</v>
      </c>
      <c r="L44" s="230">
        <f t="shared" si="8"/>
        <v>0</v>
      </c>
      <c r="M44" s="230">
        <f t="shared" si="8"/>
        <v>0</v>
      </c>
      <c r="N44" s="230">
        <f t="shared" si="8"/>
        <v>0</v>
      </c>
      <c r="O44" s="213"/>
    </row>
    <row r="45" spans="1:16">
      <c r="A45" s="171"/>
      <c r="B45" s="187">
        <v>3300000</v>
      </c>
      <c r="C45" s="200" t="s">
        <v>21</v>
      </c>
      <c r="D45" s="200">
        <v>4099999</v>
      </c>
      <c r="E45" s="217"/>
      <c r="G45" s="236"/>
      <c r="H45" s="230">
        <f t="shared" ref="H45:N45" si="9">IF(AND(H$43=$A$16,H$42&gt;=$B$45,H$42&lt;=$D$45),ROUNDUP(H$42*0.25+275000,0),0)</f>
        <v>0</v>
      </c>
      <c r="I45" s="230">
        <f t="shared" si="9"/>
        <v>0</v>
      </c>
      <c r="J45" s="230">
        <f t="shared" si="9"/>
        <v>0</v>
      </c>
      <c r="K45" s="230">
        <f t="shared" si="9"/>
        <v>0</v>
      </c>
      <c r="L45" s="230">
        <f t="shared" si="9"/>
        <v>0</v>
      </c>
      <c r="M45" s="230">
        <f t="shared" si="9"/>
        <v>0</v>
      </c>
      <c r="N45" s="230">
        <f t="shared" si="9"/>
        <v>0</v>
      </c>
      <c r="O45" s="213"/>
    </row>
    <row r="46" spans="1:16">
      <c r="A46" s="171"/>
      <c r="B46" s="187">
        <v>4100000</v>
      </c>
      <c r="C46" s="200" t="s">
        <v>21</v>
      </c>
      <c r="D46" s="200">
        <v>7699999</v>
      </c>
      <c r="E46" s="217"/>
      <c r="G46" s="236"/>
      <c r="H46" s="230">
        <f t="shared" ref="H46:N46" si="10">IF(AND(H$43=$A$16,H$42&gt;=$B$46,H$42&lt;=$D$46),ROUNDUP(H$42*0.15+685000,0),0)</f>
        <v>0</v>
      </c>
      <c r="I46" s="230">
        <f t="shared" si="10"/>
        <v>0</v>
      </c>
      <c r="J46" s="230">
        <f t="shared" si="10"/>
        <v>0</v>
      </c>
      <c r="K46" s="230">
        <f t="shared" si="10"/>
        <v>0</v>
      </c>
      <c r="L46" s="230">
        <f t="shared" si="10"/>
        <v>0</v>
      </c>
      <c r="M46" s="230">
        <f t="shared" si="10"/>
        <v>0</v>
      </c>
      <c r="N46" s="230">
        <f t="shared" si="10"/>
        <v>0</v>
      </c>
      <c r="O46" s="213"/>
    </row>
    <row r="47" spans="1:16" ht="34.5" customHeight="1">
      <c r="A47" s="171"/>
      <c r="B47" s="187">
        <v>7700000</v>
      </c>
      <c r="C47" s="200" t="s">
        <v>21</v>
      </c>
      <c r="D47" s="200">
        <v>9999999</v>
      </c>
      <c r="E47" s="217"/>
      <c r="G47" s="236"/>
      <c r="H47" s="230">
        <f t="shared" ref="H47:N47" si="11">IF(AND(H$43=$A$16,H$42&gt;=$B$47,H$42&lt;=$D$47),ROUNDUP(H$42*0.05+1455000,0),0)</f>
        <v>0</v>
      </c>
      <c r="I47" s="230">
        <f t="shared" si="11"/>
        <v>0</v>
      </c>
      <c r="J47" s="230">
        <f t="shared" si="11"/>
        <v>0</v>
      </c>
      <c r="K47" s="230">
        <f t="shared" si="11"/>
        <v>0</v>
      </c>
      <c r="L47" s="230">
        <f t="shared" si="11"/>
        <v>0</v>
      </c>
      <c r="M47" s="230">
        <f t="shared" si="11"/>
        <v>0</v>
      </c>
      <c r="N47" s="230">
        <f t="shared" si="11"/>
        <v>0</v>
      </c>
      <c r="O47" s="213"/>
    </row>
    <row r="48" spans="1:16">
      <c r="A48" s="172"/>
      <c r="B48" s="187">
        <v>10000000</v>
      </c>
      <c r="C48" s="200" t="s">
        <v>21</v>
      </c>
      <c r="D48" s="200"/>
      <c r="E48" s="218"/>
      <c r="G48" s="237"/>
      <c r="H48" s="230">
        <f t="shared" ref="H48:N48" si="12">IF(AND(H$43=$A$16,H$42&gt;=$B$48),1955000,0)</f>
        <v>0</v>
      </c>
      <c r="I48" s="230">
        <f t="shared" si="12"/>
        <v>0</v>
      </c>
      <c r="J48" s="230">
        <f t="shared" si="12"/>
        <v>0</v>
      </c>
      <c r="K48" s="230">
        <f t="shared" si="12"/>
        <v>0</v>
      </c>
      <c r="L48" s="230">
        <f t="shared" si="12"/>
        <v>0</v>
      </c>
      <c r="M48" s="230">
        <f t="shared" si="12"/>
        <v>0</v>
      </c>
      <c r="N48" s="230">
        <f t="shared" si="12"/>
        <v>0</v>
      </c>
      <c r="O48" s="213"/>
    </row>
    <row r="49" spans="1:15">
      <c r="A49" s="173" t="s">
        <v>26</v>
      </c>
      <c r="B49" s="187">
        <v>1</v>
      </c>
      <c r="C49" s="200" t="s">
        <v>21</v>
      </c>
      <c r="D49" s="200">
        <v>1299999</v>
      </c>
      <c r="E49" s="217"/>
      <c r="G49" s="235" t="s">
        <v>26</v>
      </c>
      <c r="H49" s="230">
        <f t="shared" ref="H49:N49" si="13">IF(AND(H$43=$A$17,H$42&gt;=$B$49,H$42&lt;=$D$49),600000,0)</f>
        <v>0</v>
      </c>
      <c r="I49" s="230">
        <f t="shared" si="13"/>
        <v>0</v>
      </c>
      <c r="J49" s="230">
        <f t="shared" si="13"/>
        <v>0</v>
      </c>
      <c r="K49" s="230">
        <f t="shared" si="13"/>
        <v>0</v>
      </c>
      <c r="L49" s="230">
        <f t="shared" si="13"/>
        <v>0</v>
      </c>
      <c r="M49" s="230">
        <f t="shared" si="13"/>
        <v>0</v>
      </c>
      <c r="N49" s="230">
        <f t="shared" si="13"/>
        <v>0</v>
      </c>
      <c r="O49" s="213"/>
    </row>
    <row r="50" spans="1:15">
      <c r="A50" s="174"/>
      <c r="B50" s="187">
        <v>1300000</v>
      </c>
      <c r="C50" s="200" t="s">
        <v>21</v>
      </c>
      <c r="D50" s="200">
        <v>4099999</v>
      </c>
      <c r="E50" s="217"/>
      <c r="G50" s="236"/>
      <c r="H50" s="230">
        <f t="shared" ref="H50:N50" si="14">IF(AND(H$43=$A$17,H$42&gt;=$B$50,H$42&lt;=$D$50),ROUNDUP(H$42*0.25+275000,0),0)</f>
        <v>0</v>
      </c>
      <c r="I50" s="230">
        <f t="shared" si="14"/>
        <v>0</v>
      </c>
      <c r="J50" s="230">
        <f t="shared" si="14"/>
        <v>0</v>
      </c>
      <c r="K50" s="230">
        <f t="shared" si="14"/>
        <v>0</v>
      </c>
      <c r="L50" s="230">
        <f t="shared" si="14"/>
        <v>0</v>
      </c>
      <c r="M50" s="230">
        <f t="shared" si="14"/>
        <v>0</v>
      </c>
      <c r="N50" s="230">
        <f t="shared" si="14"/>
        <v>0</v>
      </c>
      <c r="O50" s="213"/>
    </row>
    <row r="51" spans="1:15">
      <c r="A51" s="174"/>
      <c r="B51" s="187">
        <v>4100000</v>
      </c>
      <c r="C51" s="200" t="s">
        <v>21</v>
      </c>
      <c r="D51" s="200">
        <v>7699999</v>
      </c>
      <c r="E51" s="217"/>
      <c r="G51" s="236"/>
      <c r="H51" s="230">
        <f t="shared" ref="H51:N51" si="15">IF(AND(H$43=$A$17,H$42&gt;=$B$51,H$42&lt;=$D$51),ROUNDUP(H$42*0.15+685000,0),0)</f>
        <v>0</v>
      </c>
      <c r="I51" s="230">
        <f t="shared" si="15"/>
        <v>0</v>
      </c>
      <c r="J51" s="230">
        <f t="shared" si="15"/>
        <v>0</v>
      </c>
      <c r="K51" s="230">
        <f t="shared" si="15"/>
        <v>0</v>
      </c>
      <c r="L51" s="230">
        <f t="shared" si="15"/>
        <v>0</v>
      </c>
      <c r="M51" s="230">
        <f t="shared" si="15"/>
        <v>0</v>
      </c>
      <c r="N51" s="230">
        <f t="shared" si="15"/>
        <v>0</v>
      </c>
      <c r="O51" s="213"/>
    </row>
    <row r="52" spans="1:15">
      <c r="A52" s="174"/>
      <c r="B52" s="187">
        <v>7700000</v>
      </c>
      <c r="C52" s="200" t="s">
        <v>21</v>
      </c>
      <c r="D52" s="200">
        <v>9999999</v>
      </c>
      <c r="E52" s="217"/>
      <c r="G52" s="236"/>
      <c r="H52" s="230">
        <f t="shared" ref="H52:N52" si="16">IF(AND(H$43=$A$17,H$42&gt;=$B$52,H$42&lt;=$D$52),ROUNDUP(H$42*0.05+1455000,0),0)</f>
        <v>0</v>
      </c>
      <c r="I52" s="230">
        <f t="shared" si="16"/>
        <v>0</v>
      </c>
      <c r="J52" s="230">
        <f t="shared" si="16"/>
        <v>0</v>
      </c>
      <c r="K52" s="230">
        <f t="shared" si="16"/>
        <v>0</v>
      </c>
      <c r="L52" s="230">
        <f t="shared" si="16"/>
        <v>0</v>
      </c>
      <c r="M52" s="230">
        <f t="shared" si="16"/>
        <v>0</v>
      </c>
      <c r="N52" s="230">
        <f t="shared" si="16"/>
        <v>0</v>
      </c>
      <c r="O52" s="213"/>
    </row>
    <row r="53" spans="1:15">
      <c r="A53" s="175"/>
      <c r="B53" s="187">
        <v>10000000</v>
      </c>
      <c r="C53" s="200" t="s">
        <v>21</v>
      </c>
      <c r="D53" s="200"/>
      <c r="E53" s="218"/>
      <c r="G53" s="237"/>
      <c r="H53" s="230">
        <f t="shared" ref="H53:N53" si="17">IF(AND(H$43=$A$17,H$42&gt;=$B$53),1955000,0)</f>
        <v>0</v>
      </c>
      <c r="I53" s="230">
        <f t="shared" si="17"/>
        <v>0</v>
      </c>
      <c r="J53" s="230">
        <f t="shared" si="17"/>
        <v>0</v>
      </c>
      <c r="K53" s="230">
        <f t="shared" si="17"/>
        <v>0</v>
      </c>
      <c r="L53" s="230">
        <f t="shared" si="17"/>
        <v>0</v>
      </c>
      <c r="M53" s="230">
        <f t="shared" si="17"/>
        <v>0</v>
      </c>
      <c r="N53" s="230">
        <f t="shared" si="17"/>
        <v>0</v>
      </c>
      <c r="O53" s="213"/>
    </row>
    <row r="54" spans="1:15">
      <c r="A54" s="174"/>
      <c r="B54" s="188"/>
      <c r="C54" s="201"/>
      <c r="D54" s="201"/>
      <c r="E54" s="188"/>
      <c r="G54" s="239" t="s">
        <v>23</v>
      </c>
      <c r="H54" s="230">
        <f t="shared" ref="H54:N54" si="18">SUM(H44:H53)</f>
        <v>0</v>
      </c>
      <c r="I54" s="230">
        <f t="shared" si="18"/>
        <v>0</v>
      </c>
      <c r="J54" s="230">
        <f t="shared" si="18"/>
        <v>0</v>
      </c>
      <c r="K54" s="230">
        <f t="shared" si="18"/>
        <v>0</v>
      </c>
      <c r="L54" s="230">
        <f t="shared" si="18"/>
        <v>0</v>
      </c>
      <c r="M54" s="230">
        <f t="shared" si="18"/>
        <v>0</v>
      </c>
      <c r="N54" s="230">
        <f t="shared" si="18"/>
        <v>0</v>
      </c>
      <c r="O54" s="213"/>
    </row>
    <row r="55" spans="1:15" ht="37.5">
      <c r="A55" s="161"/>
      <c r="G55" s="238" t="s">
        <v>8</v>
      </c>
      <c r="H55" s="241">
        <f t="shared" ref="H55:N55" si="19">MAX(H$42-H$54,0)</f>
        <v>0</v>
      </c>
      <c r="I55" s="241">
        <f t="shared" si="19"/>
        <v>0</v>
      </c>
      <c r="J55" s="241">
        <f t="shared" si="19"/>
        <v>0</v>
      </c>
      <c r="K55" s="241">
        <f t="shared" si="19"/>
        <v>0</v>
      </c>
      <c r="L55" s="241">
        <f t="shared" si="19"/>
        <v>0</v>
      </c>
      <c r="M55" s="241">
        <f t="shared" si="19"/>
        <v>0</v>
      </c>
      <c r="N55" s="241">
        <f t="shared" si="19"/>
        <v>0</v>
      </c>
      <c r="O55" s="213"/>
    </row>
    <row r="56" spans="1:15" ht="19.5">
      <c r="A56" s="164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214"/>
    </row>
    <row r="57" spans="1:15" ht="19.5"/>
    <row r="58" spans="1:15">
      <c r="A58" s="158" t="s">
        <v>2</v>
      </c>
      <c r="B58" s="181"/>
      <c r="C58" s="181"/>
      <c r="D58" s="181"/>
      <c r="E58" s="181"/>
      <c r="F58" s="181"/>
      <c r="G58" s="181"/>
      <c r="H58" s="212"/>
    </row>
    <row r="59" spans="1:15">
      <c r="A59" s="176" t="s">
        <v>60</v>
      </c>
      <c r="B59" s="189"/>
      <c r="C59" s="202">
        <f>計算!L75</f>
        <v>0</v>
      </c>
      <c r="D59" s="202"/>
      <c r="H59" s="213"/>
    </row>
    <row r="60" spans="1:15">
      <c r="A60" s="176" t="s">
        <v>17</v>
      </c>
      <c r="B60" s="189"/>
      <c r="C60" s="202">
        <f>計算!H86</f>
        <v>0</v>
      </c>
      <c r="D60" s="202"/>
      <c r="G60" s="232"/>
      <c r="H60" s="242"/>
    </row>
    <row r="61" spans="1:15">
      <c r="A61" s="176" t="s">
        <v>50</v>
      </c>
      <c r="B61" s="189"/>
      <c r="C61" s="203">
        <f>B91</f>
        <v>0</v>
      </c>
      <c r="D61" s="203"/>
      <c r="H61" s="213"/>
    </row>
    <row r="62" spans="1:15">
      <c r="A62" s="174"/>
      <c r="B62" s="2"/>
      <c r="G62" s="166" t="s">
        <v>58</v>
      </c>
      <c r="H62" s="213"/>
    </row>
    <row r="63" spans="1:15">
      <c r="A63" s="156" t="s">
        <v>28</v>
      </c>
      <c r="B63" s="190"/>
      <c r="C63" s="204">
        <v>0</v>
      </c>
      <c r="D63" s="179"/>
      <c r="E63" s="179" t="s">
        <v>61</v>
      </c>
      <c r="F63" s="233">
        <f>430000+(100000*(IF(C60&gt;1,C60-1,0)))</f>
        <v>430000</v>
      </c>
      <c r="G63" s="167">
        <f>IF(AND(C59&gt;=C63,C59&lt;=F63),7,"")</f>
        <v>7</v>
      </c>
      <c r="H63" s="213"/>
      <c r="I63" s="1"/>
    </row>
    <row r="64" spans="1:15">
      <c r="A64" s="156" t="s">
        <v>62</v>
      </c>
      <c r="B64" s="190"/>
      <c r="C64" s="204">
        <f>F63+1</f>
        <v>430001</v>
      </c>
      <c r="D64" s="179"/>
      <c r="E64" s="179" t="s">
        <v>61</v>
      </c>
      <c r="F64" s="233">
        <f>430000+(計算!E8*C61)+(100000*(IF(C60&gt;1,C60-1,0)))</f>
        <v>430000</v>
      </c>
      <c r="G64" s="167">
        <f>IF(AND(C59&gt;=C64,C59&lt;=F64),5,0)</f>
        <v>0</v>
      </c>
      <c r="H64" s="213"/>
    </row>
    <row r="65" spans="1:13">
      <c r="A65" s="156" t="s">
        <v>29</v>
      </c>
      <c r="B65" s="190"/>
      <c r="C65" s="204">
        <f>F64+1</f>
        <v>430001</v>
      </c>
      <c r="D65" s="179"/>
      <c r="E65" s="179" t="s">
        <v>61</v>
      </c>
      <c r="F65" s="233">
        <f>430000+(C61*計算!E9)+(100000*(IF(C60&gt;1,C60-1,0)))</f>
        <v>430000</v>
      </c>
      <c r="G65" s="167">
        <f>IF(AND(C59&gt;=C65,C59&lt;=F65),2,0)</f>
        <v>0</v>
      </c>
      <c r="H65" s="213"/>
    </row>
    <row r="66" spans="1:13">
      <c r="A66" s="156" t="s">
        <v>39</v>
      </c>
      <c r="B66" s="190"/>
      <c r="C66" s="204">
        <f>F65+1</f>
        <v>430001</v>
      </c>
      <c r="D66" s="179"/>
      <c r="E66" s="179" t="s">
        <v>61</v>
      </c>
      <c r="F66" s="233"/>
      <c r="G66" s="167">
        <f>IF(C59&lt;=C66,0,0)</f>
        <v>0</v>
      </c>
      <c r="H66" s="213"/>
    </row>
    <row r="67" spans="1:13">
      <c r="A67" s="161"/>
      <c r="F67" s="234" t="s">
        <v>45</v>
      </c>
      <c r="G67" s="240">
        <f>SUM(G63:G66)</f>
        <v>7</v>
      </c>
      <c r="H67" s="243" t="s">
        <v>106</v>
      </c>
    </row>
    <row r="68" spans="1:13" ht="19.5">
      <c r="A68" s="164"/>
      <c r="B68" s="185"/>
      <c r="C68" s="185"/>
      <c r="D68" s="185"/>
      <c r="E68" s="185"/>
      <c r="F68" s="185"/>
      <c r="G68" s="185"/>
      <c r="H68" s="214"/>
    </row>
    <row r="70" spans="1:13" ht="19.5"/>
    <row r="71" spans="1:13">
      <c r="A71" s="158" t="s">
        <v>121</v>
      </c>
      <c r="B71" s="19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212"/>
    </row>
    <row r="72" spans="1:13">
      <c r="A72" s="170"/>
      <c r="B72" s="166" t="s">
        <v>99</v>
      </c>
      <c r="C72" s="166"/>
      <c r="D72" s="209" t="s">
        <v>89</v>
      </c>
      <c r="E72" s="219" t="s">
        <v>14</v>
      </c>
      <c r="F72" s="204" t="s">
        <v>90</v>
      </c>
      <c r="G72" s="179"/>
      <c r="H72" s="190"/>
      <c r="I72" s="166" t="s">
        <v>102</v>
      </c>
      <c r="J72" s="166"/>
      <c r="L72" s="246" t="s">
        <v>48</v>
      </c>
      <c r="M72" s="250"/>
    </row>
    <row r="73" spans="1:13">
      <c r="A73" s="172"/>
      <c r="B73" s="192" t="s">
        <v>101</v>
      </c>
      <c r="C73" s="166" t="s">
        <v>100</v>
      </c>
      <c r="D73" s="209"/>
      <c r="E73" s="219"/>
      <c r="F73" s="192" t="s">
        <v>25</v>
      </c>
      <c r="G73" s="166" t="s">
        <v>26</v>
      </c>
      <c r="H73" s="166" t="s">
        <v>80</v>
      </c>
      <c r="I73" s="166"/>
      <c r="J73" s="166"/>
      <c r="L73" s="247">
        <f>IF(SUM('R8試算シート'!Q53:S59)&lt;0,0,SUM('R8試算シート'!Q53:S59))</f>
        <v>0</v>
      </c>
      <c r="M73" s="251"/>
    </row>
    <row r="74" spans="1:13">
      <c r="A74" s="155" t="s">
        <v>31</v>
      </c>
      <c r="B74" s="193">
        <f>IF(OR(IF(F$23="",0,F$23-550000&gt;0),H74&gt;0),1,0)</f>
        <v>0</v>
      </c>
      <c r="C74" s="205" t="b">
        <v>0</v>
      </c>
      <c r="D74" s="210">
        <f>計算!F$36</f>
        <v>0</v>
      </c>
      <c r="E74" s="220">
        <f>計算!H55</f>
        <v>0</v>
      </c>
      <c r="F74" s="167">
        <f>IF(AND('R8試算シート'!$C53=計算!$A$16,E74&gt;0),E74-150000,0)</f>
        <v>0</v>
      </c>
      <c r="G74" s="193">
        <f>IF('R8試算シート'!$C53=計算!$A$17,E74,0)</f>
        <v>0</v>
      </c>
      <c r="H74" s="220">
        <f t="shared" ref="H74:H80" si="20">MAX(F74+G74,0)</f>
        <v>0</v>
      </c>
      <c r="I74" s="230">
        <f>IF(H74+D74+'R8試算シート'!L53&gt;0,H74+D74+'R8試算シート'!L53,0)</f>
        <v>0</v>
      </c>
      <c r="J74" s="245"/>
      <c r="L74" s="246" t="s">
        <v>49</v>
      </c>
      <c r="M74" s="250"/>
    </row>
    <row r="75" spans="1:13">
      <c r="A75" s="155">
        <v>1</v>
      </c>
      <c r="B75" s="193">
        <f>IF(OR(IF(G$23="",0,G$23-550000&gt;0),H75&gt;0),1,0)</f>
        <v>0</v>
      </c>
      <c r="C75" s="205" t="b">
        <v>0</v>
      </c>
      <c r="D75" s="210">
        <f>計算!G$36</f>
        <v>0</v>
      </c>
      <c r="E75" s="220">
        <f>計算!I55</f>
        <v>0</v>
      </c>
      <c r="F75" s="167">
        <f>IF(AND('R8試算シート'!$C54=計算!$A$16,E75&gt;0),E75-150000,0)</f>
        <v>0</v>
      </c>
      <c r="G75" s="193">
        <f>IF('R8試算シート'!$C54=計算!$A$17,E75,0)</f>
        <v>0</v>
      </c>
      <c r="H75" s="220">
        <f t="shared" si="20"/>
        <v>0</v>
      </c>
      <c r="I75" s="230">
        <f>IF(ISBLANK('R8試算シート'!D54),0,IF(H75+D75+'R8試算シート'!L54&gt;0,H75+D75+'R8試算シート'!L54,0))</f>
        <v>0</v>
      </c>
      <c r="J75" s="245"/>
      <c r="L75" s="247">
        <f>SUM(計算!I74:J80)</f>
        <v>0</v>
      </c>
      <c r="M75" s="251"/>
    </row>
    <row r="76" spans="1:13">
      <c r="A76" s="155">
        <v>2</v>
      </c>
      <c r="B76" s="193">
        <f>IF(OR(IF(H$23="",0,H$23-550000&gt;0),H76&gt;0),1,0)</f>
        <v>0</v>
      </c>
      <c r="C76" s="205" t="b">
        <v>1</v>
      </c>
      <c r="D76" s="210">
        <f>計算!H$36</f>
        <v>0</v>
      </c>
      <c r="E76" s="220">
        <f>計算!J55</f>
        <v>0</v>
      </c>
      <c r="F76" s="167">
        <f>IF(AND('R8試算シート'!$C55=計算!$A$16,E76&gt;0),E76-150000,0)</f>
        <v>0</v>
      </c>
      <c r="G76" s="193">
        <f>IF('R8試算シート'!$C55=計算!$A$17,E76,0)</f>
        <v>0</v>
      </c>
      <c r="H76" s="220">
        <f t="shared" si="20"/>
        <v>0</v>
      </c>
      <c r="I76" s="230">
        <f>IF(ISBLANK('R8試算シート'!D55),0,IF(H76+D76+'R8試算シート'!L55&gt;0,H76+D76+'R8試算シート'!L55,0))</f>
        <v>0</v>
      </c>
      <c r="J76" s="245"/>
      <c r="L76" s="248" t="s">
        <v>16</v>
      </c>
      <c r="M76" s="252"/>
    </row>
    <row r="77" spans="1:13">
      <c r="A77" s="155">
        <v>3</v>
      </c>
      <c r="B77" s="193">
        <f>IF(OR(IF(I$23="",0,I$23-550000&gt;0),H77&gt;0),1,0)</f>
        <v>0</v>
      </c>
      <c r="C77" s="205" t="b">
        <v>0</v>
      </c>
      <c r="D77" s="210">
        <f>計算!I$36</f>
        <v>0</v>
      </c>
      <c r="E77" s="220">
        <f>計算!K55</f>
        <v>0</v>
      </c>
      <c r="F77" s="167">
        <f>IF(AND('R8試算シート'!$C56=計算!$A$16,E77&gt;0),E77-150000,0)</f>
        <v>0</v>
      </c>
      <c r="G77" s="193">
        <f>IF('R8試算シート'!$C56=計算!$A$17,E77,0)</f>
        <v>0</v>
      </c>
      <c r="H77" s="220">
        <f t="shared" si="20"/>
        <v>0</v>
      </c>
      <c r="I77" s="230">
        <f>IF(ISBLANK('R8試算シート'!D56),0,IF(H77+D77+'R8試算シート'!L56&gt;0,H77+D77+'R8試算シート'!L56,0))</f>
        <v>0</v>
      </c>
      <c r="J77" s="245"/>
      <c r="L77" s="247">
        <f>SUMIF('R8試算シート'!D53:E59,"*40歳～64歳*",'R8試算シート'!Q53:S59)</f>
        <v>0</v>
      </c>
      <c r="M77" s="251"/>
    </row>
    <row r="78" spans="1:13">
      <c r="A78" s="155">
        <v>4</v>
      </c>
      <c r="B78" s="193">
        <f>IF(OR(IF(J$23="",0,J$23-550000&gt;0),H78&gt;0),1,0)</f>
        <v>0</v>
      </c>
      <c r="C78" s="205" t="b">
        <v>0</v>
      </c>
      <c r="D78" s="210">
        <f>計算!J$36</f>
        <v>0</v>
      </c>
      <c r="E78" s="220">
        <f>計算!L55</f>
        <v>0</v>
      </c>
      <c r="F78" s="167">
        <f>IF(AND('R8試算シート'!$C57=計算!$A$16,E78&gt;0),E78-150000,0)</f>
        <v>0</v>
      </c>
      <c r="G78" s="193">
        <f>IF('R8試算シート'!$C57=計算!$A$17,E78,0)</f>
        <v>0</v>
      </c>
      <c r="H78" s="220">
        <f t="shared" si="20"/>
        <v>0</v>
      </c>
      <c r="I78" s="230">
        <f>IF(ISBLANK('R8試算シート'!D57),0,IF(H78+D78+'R8試算シート'!L57&gt;0,H78+D78+'R8試算シート'!L57,0))</f>
        <v>0</v>
      </c>
      <c r="J78" s="245"/>
      <c r="L78" s="249"/>
      <c r="M78" s="253"/>
    </row>
    <row r="79" spans="1:13">
      <c r="A79" s="155">
        <v>5</v>
      </c>
      <c r="B79" s="193">
        <f>IF(OR(IF(K$23="",0,K$23-550000&gt;0),H79&gt;0),1,0)</f>
        <v>0</v>
      </c>
      <c r="C79" s="205" t="b">
        <v>0</v>
      </c>
      <c r="D79" s="210">
        <f>計算!K$36</f>
        <v>0</v>
      </c>
      <c r="E79" s="220">
        <f>計算!M55</f>
        <v>0</v>
      </c>
      <c r="F79" s="167">
        <f>IF(AND('R8試算シート'!$C58=計算!$A$16,E79&gt;0),E79-150000,0)</f>
        <v>0</v>
      </c>
      <c r="G79" s="193">
        <f>IF('R8試算シート'!$C58=計算!$A$17,E79,0)</f>
        <v>0</v>
      </c>
      <c r="H79" s="220">
        <f t="shared" si="20"/>
        <v>0</v>
      </c>
      <c r="I79" s="230">
        <f>IF(ISBLANK('R8試算シート'!D58),0,IF(H79+D79+'R8試算シート'!L58&gt;0,H79+D79+'R8試算シート'!L58,0))</f>
        <v>0</v>
      </c>
      <c r="J79" s="245"/>
      <c r="L79" s="1"/>
      <c r="M79" s="254"/>
    </row>
    <row r="80" spans="1:13">
      <c r="A80" s="155">
        <v>6</v>
      </c>
      <c r="B80" s="193">
        <f>IF(OR(IF(L$23="",0,L$23-550000&gt;0),H80&gt;0),1,0)</f>
        <v>0</v>
      </c>
      <c r="C80" s="205" t="b">
        <v>0</v>
      </c>
      <c r="D80" s="210">
        <f>計算!L$36</f>
        <v>0</v>
      </c>
      <c r="E80" s="221">
        <f>計算!N55</f>
        <v>0</v>
      </c>
      <c r="F80" s="167">
        <f>IF(AND('R8試算シート'!$C59=計算!$A$16,E80&gt;0),E80-150000,0)</f>
        <v>0</v>
      </c>
      <c r="G80" s="193">
        <f>IF('R8試算シート'!$C59=計算!$A$17,E80,0)</f>
        <v>0</v>
      </c>
      <c r="H80" s="220">
        <f t="shared" si="20"/>
        <v>0</v>
      </c>
      <c r="I80" s="230">
        <f>IF(ISBLANK('R8試算シート'!D59),0,IF(H80+D80+'R8試算シート'!L59&gt;0,H80+D80+'R8試算シート'!L59,0))</f>
        <v>0</v>
      </c>
      <c r="J80" s="245"/>
      <c r="M80" s="213"/>
    </row>
    <row r="81" spans="1:13" ht="19.5">
      <c r="A81" s="164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214"/>
    </row>
    <row r="82" spans="1:13" ht="19.5"/>
    <row r="83" spans="1:13">
      <c r="A83" s="158" t="s">
        <v>122</v>
      </c>
      <c r="B83" s="181"/>
      <c r="C83" s="181"/>
      <c r="D83" s="181"/>
      <c r="E83" s="181"/>
      <c r="F83" s="181"/>
      <c r="G83" s="181"/>
      <c r="H83" s="181"/>
      <c r="I83" s="212"/>
    </row>
    <row r="84" spans="1:13">
      <c r="A84" s="155" t="s">
        <v>115</v>
      </c>
      <c r="B84" s="166"/>
      <c r="I84" s="213"/>
    </row>
    <row r="85" spans="1:13">
      <c r="A85" s="169" t="s">
        <v>27</v>
      </c>
      <c r="B85" s="167">
        <f>IF('R8試算シート'!$B$53=計算!$A$14,COUNTIF('R8試算シート'!$D$54:$D$59,B13),COUNTIF('R8試算シート'!$D$53:$D$59,B13))</f>
        <v>0</v>
      </c>
      <c r="E85" s="222" t="s">
        <v>34</v>
      </c>
      <c r="F85" s="222" t="s">
        <v>51</v>
      </c>
      <c r="G85" s="222" t="s">
        <v>87</v>
      </c>
      <c r="H85" s="222" t="s">
        <v>78</v>
      </c>
      <c r="I85" s="213"/>
    </row>
    <row r="86" spans="1:13">
      <c r="A86" s="169" t="s">
        <v>13</v>
      </c>
      <c r="B86" s="167">
        <f>IF('R8試算シート'!$B$53=計算!$A$14,COUNTIF('R8試算シート'!$D$54:$D$59,B14),COUNTIF('R8試算シート'!$D$53:$D$59,B14))</f>
        <v>0</v>
      </c>
      <c r="E86" s="222">
        <f>B87</f>
        <v>0</v>
      </c>
      <c r="F86" s="222">
        <f>B90</f>
        <v>0</v>
      </c>
      <c r="G86" s="222">
        <f>SUM(B86:B88)</f>
        <v>0</v>
      </c>
      <c r="H86" s="244">
        <f>SUM(計算!B74:B80)</f>
        <v>0</v>
      </c>
      <c r="I86" s="213"/>
    </row>
    <row r="87" spans="1:13">
      <c r="A87" s="169" t="s">
        <v>11</v>
      </c>
      <c r="B87" s="167">
        <f>IF('R8試算シート'!$B$53=計算!$A$14,COUNTIF('R8試算シート'!$D$54:$D$59,B15),COUNTIF('R8試算シート'!$D$53:$D$59,B15))</f>
        <v>0</v>
      </c>
      <c r="I87" s="213"/>
    </row>
    <row r="88" spans="1:13">
      <c r="A88" s="169" t="s">
        <v>117</v>
      </c>
      <c r="B88" s="167">
        <f>IF('R8試算シート'!$B$53=計算!$A$14,COUNTIF('R8試算シート'!$D$54:$D$59,B16),COUNTIF('R8試算シート'!$D$53:$D$59,B16))</f>
        <v>0</v>
      </c>
      <c r="I88" s="213"/>
    </row>
    <row r="89" spans="1:13">
      <c r="A89" s="169" t="s">
        <v>19</v>
      </c>
      <c r="B89" s="167">
        <f>IF('R8試算シート'!$B$53=計算!$A$14,COUNTIF('R8試算シート'!$D$54:$D$59,B17),COUNTIF('R8試算シート'!$D$53:$D$59,B17))</f>
        <v>0</v>
      </c>
      <c r="E89" s="223"/>
      <c r="F89" s="223"/>
      <c r="G89" s="232"/>
      <c r="I89" s="213"/>
    </row>
    <row r="90" spans="1:13">
      <c r="A90" s="169" t="s">
        <v>91</v>
      </c>
      <c r="B90" s="167">
        <f>IF('R8試算シート'!$B$53=計算!$A$14,COUNTIF('R8試算シート'!$D$54:$D$59,B18),COUNTIF('R8試算シート'!$D$53:$D$59,B18))</f>
        <v>0</v>
      </c>
      <c r="I90" s="213"/>
    </row>
    <row r="91" spans="1:13">
      <c r="A91" s="155" t="s">
        <v>80</v>
      </c>
      <c r="B91" s="167">
        <f>SUM(B85:B90)</f>
        <v>0</v>
      </c>
      <c r="I91" s="213"/>
    </row>
    <row r="92" spans="1:13" ht="19.5">
      <c r="A92" s="164"/>
      <c r="B92" s="185"/>
      <c r="C92" s="185"/>
      <c r="D92" s="185"/>
      <c r="E92" s="185"/>
      <c r="F92" s="185"/>
      <c r="G92" s="185"/>
      <c r="H92" s="185"/>
      <c r="I92" s="214"/>
    </row>
    <row r="93" spans="1:13">
      <c r="A93" s="2"/>
    </row>
  </sheetData>
  <mergeCells count="62">
    <mergeCell ref="C2:D2"/>
    <mergeCell ref="C3:D3"/>
    <mergeCell ref="C4:D4"/>
    <mergeCell ref="C5:D5"/>
    <mergeCell ref="A7:D7"/>
    <mergeCell ref="E7:F7"/>
    <mergeCell ref="A8:D8"/>
    <mergeCell ref="E8:F8"/>
    <mergeCell ref="A9:D9"/>
    <mergeCell ref="E9:F9"/>
    <mergeCell ref="A23:D23"/>
    <mergeCell ref="C24:D24"/>
    <mergeCell ref="C25:D25"/>
    <mergeCell ref="C26:D26"/>
    <mergeCell ref="C27:D27"/>
    <mergeCell ref="C28:D28"/>
    <mergeCell ref="C29:D29"/>
    <mergeCell ref="B43:E43"/>
    <mergeCell ref="D44:E44"/>
    <mergeCell ref="D45:E45"/>
    <mergeCell ref="D46:E46"/>
    <mergeCell ref="D47:E47"/>
    <mergeCell ref="D49:E49"/>
    <mergeCell ref="D50:E50"/>
    <mergeCell ref="D51:E51"/>
    <mergeCell ref="D52:E52"/>
    <mergeCell ref="A59:B59"/>
    <mergeCell ref="A60:B60"/>
    <mergeCell ref="A61:B61"/>
    <mergeCell ref="A63:B63"/>
    <mergeCell ref="C63:D63"/>
    <mergeCell ref="A64:B64"/>
    <mergeCell ref="C64:D64"/>
    <mergeCell ref="A65:B65"/>
    <mergeCell ref="C65:D65"/>
    <mergeCell ref="A66:B66"/>
    <mergeCell ref="C66:D66"/>
    <mergeCell ref="B72:C72"/>
    <mergeCell ref="F72:H72"/>
    <mergeCell ref="L72:M72"/>
    <mergeCell ref="L73:M73"/>
    <mergeCell ref="I74:J74"/>
    <mergeCell ref="L74:M74"/>
    <mergeCell ref="I75:J75"/>
    <mergeCell ref="L75:M75"/>
    <mergeCell ref="I76:J76"/>
    <mergeCell ref="L76:M76"/>
    <mergeCell ref="I77:J77"/>
    <mergeCell ref="L77:M77"/>
    <mergeCell ref="I78:J78"/>
    <mergeCell ref="I79:J79"/>
    <mergeCell ref="I80:J80"/>
    <mergeCell ref="A84:B84"/>
    <mergeCell ref="E89:F89"/>
    <mergeCell ref="A44:A48"/>
    <mergeCell ref="G44:G48"/>
    <mergeCell ref="A49:A53"/>
    <mergeCell ref="G49:G53"/>
    <mergeCell ref="A72:A73"/>
    <mergeCell ref="D72:D73"/>
    <mergeCell ref="E72:E73"/>
    <mergeCell ref="I72:J73"/>
  </mergeCells>
  <phoneticPr fontId="2"/>
  <pageMargins left="0.7" right="0.7" top="0.75" bottom="0.75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1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R8試算シート</vt:lpstr>
      <vt:lpstr>計算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内藤　比奈子</dc:creator>
  <cp:lastModifiedBy>内藤　比奈子</cp:lastModifiedBy>
  <cp:lastPrinted>2023-07-31T05:20:15Z</cp:lastPrinted>
  <dcterms:created xsi:type="dcterms:W3CDTF">2023-07-05T06:17:40Z</dcterms:created>
  <dcterms:modified xsi:type="dcterms:W3CDTF">2026-05-25T05:58:39Z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2026-05-25T05:58:39Z</vt:filetime>
  </property>
</Properties>
</file>